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04"/>
  <workbookPr codeName="ThisWorkbook"/>
  <mc:AlternateContent xmlns:mc="http://schemas.openxmlformats.org/markup-compatibility/2006">
    <mc:Choice Requires="x15">
      <x15ac:absPath xmlns:x15ac="http://schemas.microsoft.com/office/spreadsheetml/2010/11/ac" url="C:\Users\jkuklyte\Desktop\"/>
    </mc:Choice>
  </mc:AlternateContent>
  <xr:revisionPtr revIDLastSave="9" documentId="13_ncr:1_{919DA7FD-9C33-4908-BF38-6ADF6B784D27}" xr6:coauthVersionLast="45" xr6:coauthVersionMax="45" xr10:uidLastSave="{86805893-0831-4440-8633-2162D0CA1A0A}"/>
  <bookViews>
    <workbookView xWindow="-110" yWindow="-110" windowWidth="19420" windowHeight="10420" xr2:uid="{00000000-000D-0000-FFFF-FFFF00000000}"/>
  </bookViews>
  <sheets>
    <sheet name="1.Detailed budget" sheetId="2" r:id="rId1"/>
    <sheet name="2.Detailed budget notes" sheetId="1" r:id="rId2"/>
    <sheet name="2(a). BN Reference B, S" sheetId="9" r:id="rId3"/>
    <sheet name="4. Budget" sheetId="4" r:id="rId4"/>
    <sheet name="3. Indicative procurement plan" sheetId="3" r:id="rId5"/>
    <sheet name="5. Fin Timeline" sheetId="5" r:id="rId6"/>
    <sheet name="6. Fin Timeline by fin Source" sheetId="6" r:id="rId7"/>
    <sheet name="7. Budget by Fin Resource" sheetId="7" r:id="rId8"/>
    <sheet name="8. Implementation timeline" sheetId="8" r:id="rId9"/>
  </sheets>
  <externalReferences>
    <externalReference r:id="rId10"/>
    <externalReference r:id="rId11"/>
    <externalReference r:id="rId12"/>
    <externalReference r:id="rId13"/>
  </externalReferences>
  <definedNames>
    <definedName name="_xlnm.Print_Area" localSheetId="0">'1.Detailed budget'!$A$1:$P$86</definedName>
    <definedName name="_xlnm.Print_Area" localSheetId="1">'2.Detailed budget notes'!$A$1:$G$562</definedName>
    <definedName name="_xlnm.Print_Area" localSheetId="4">'3. Indicative procurement plan'!$A$1:$O$65</definedName>
    <definedName name="_xlnm.Print_Area" localSheetId="3">'4. Budget'!$A$1:$D$44</definedName>
    <definedName name="_xlnm.Print_Area" localSheetId="5">'5. Fin Timeline'!$A$1:$J$44</definedName>
    <definedName name="_xlnm.Print_Area" localSheetId="6">'6. Fin Timeline by fin Source'!$A$1:$J$58</definedName>
    <definedName name="_xlnm.Print_Area" localSheetId="7">'7. Budget by Fin Resource'!$A$1:$D$49</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6" i="9" l="1"/>
  <c r="F57" i="9"/>
  <c r="F58" i="9"/>
  <c r="F59" i="9"/>
  <c r="F60" i="9"/>
  <c r="F61" i="9"/>
  <c r="F62" i="9"/>
  <c r="F63" i="9"/>
  <c r="F64" i="9"/>
  <c r="F65" i="9"/>
  <c r="F66" i="9"/>
  <c r="F67" i="9"/>
  <c r="F68" i="9"/>
  <c r="F69" i="9"/>
  <c r="F70" i="9"/>
  <c r="F74" i="9"/>
  <c r="F75" i="9"/>
  <c r="F76" i="9"/>
  <c r="F77" i="9"/>
  <c r="F78" i="9"/>
  <c r="F79" i="9"/>
  <c r="F80" i="9"/>
  <c r="F81" i="9"/>
  <c r="F82" i="9"/>
  <c r="F83" i="9"/>
  <c r="F84" i="9"/>
  <c r="F49" i="9"/>
  <c r="F50" i="9"/>
  <c r="F51" i="9"/>
  <c r="F52" i="9"/>
  <c r="F53" i="9"/>
  <c r="F48" i="9"/>
  <c r="F40" i="9"/>
  <c r="F26" i="9"/>
  <c r="F10" i="9"/>
  <c r="F42" i="9" l="1"/>
  <c r="F54" i="9"/>
  <c r="F85" i="9"/>
  <c r="F71" i="9"/>
  <c r="F87" i="9" l="1"/>
  <c r="G387" i="1"/>
  <c r="G359" i="1" l="1"/>
  <c r="B176" i="1" l="1"/>
  <c r="B113" i="1"/>
  <c r="B106" i="1"/>
  <c r="A25" i="7" l="1"/>
  <c r="O64" i="3" l="1"/>
  <c r="O63" i="3"/>
  <c r="O62" i="3"/>
  <c r="O61" i="3"/>
  <c r="H61" i="3"/>
  <c r="I61" i="3"/>
  <c r="J61" i="3"/>
  <c r="K61" i="3"/>
  <c r="L61" i="3"/>
  <c r="M61" i="3"/>
  <c r="H62" i="3"/>
  <c r="I62" i="3"/>
  <c r="J62" i="3"/>
  <c r="K62" i="3"/>
  <c r="L62" i="3"/>
  <c r="M62" i="3"/>
  <c r="H63" i="3"/>
  <c r="I63" i="3"/>
  <c r="J63" i="3"/>
  <c r="K63" i="3"/>
  <c r="L63" i="3"/>
  <c r="M63" i="3"/>
  <c r="G63" i="3"/>
  <c r="G62" i="3"/>
  <c r="G61" i="3"/>
  <c r="E64" i="3"/>
  <c r="E63" i="3"/>
  <c r="E62" i="3"/>
  <c r="E61" i="3"/>
  <c r="A554" i="1"/>
  <c r="A545" i="1"/>
  <c r="A535" i="1"/>
  <c r="A521" i="1"/>
  <c r="A516" i="1"/>
  <c r="N62" i="3" l="1"/>
  <c r="N61" i="3"/>
  <c r="N63" i="3"/>
  <c r="N49" i="2"/>
  <c r="M49" i="2"/>
  <c r="L49" i="2"/>
  <c r="K49" i="2"/>
  <c r="J49" i="2"/>
  <c r="I49" i="2"/>
  <c r="H49" i="2"/>
  <c r="N56" i="2" l="1"/>
  <c r="M56" i="2"/>
  <c r="L56" i="2"/>
  <c r="K56" i="2"/>
  <c r="J56" i="2"/>
  <c r="I56" i="2"/>
  <c r="H56" i="2"/>
  <c r="J53" i="2"/>
  <c r="L48" i="2"/>
  <c r="K48" i="2"/>
  <c r="J48" i="2"/>
  <c r="I48" i="2"/>
  <c r="G369" i="1" l="1"/>
  <c r="G367" i="1"/>
  <c r="G363" i="1"/>
  <c r="G364" i="1"/>
  <c r="G368" i="1"/>
  <c r="G372" i="1"/>
  <c r="G371" i="1"/>
  <c r="G370" i="1"/>
  <c r="G366" i="1"/>
  <c r="O79" i="2" l="1"/>
  <c r="O78" i="2"/>
  <c r="O77" i="2"/>
  <c r="I74" i="2"/>
  <c r="J74" i="2" s="1"/>
  <c r="I58" i="2"/>
  <c r="I36" i="2"/>
  <c r="I37" i="2"/>
  <c r="H27" i="3" s="1"/>
  <c r="E22" i="5" s="1"/>
  <c r="E22" i="6" s="1"/>
  <c r="I38" i="2"/>
  <c r="I39" i="2"/>
  <c r="H29" i="3" s="1"/>
  <c r="I41" i="2"/>
  <c r="H31" i="3" s="1"/>
  <c r="I44" i="2"/>
  <c r="H34" i="3" s="1"/>
  <c r="H45" i="2"/>
  <c r="G35" i="3" s="1"/>
  <c r="I46" i="2"/>
  <c r="H36" i="3" s="1"/>
  <c r="I3" i="2"/>
  <c r="H3" i="2"/>
  <c r="J3" i="2"/>
  <c r="I3" i="3" s="1"/>
  <c r="H20" i="2"/>
  <c r="I20" i="2"/>
  <c r="H15" i="3" s="1"/>
  <c r="J20" i="2"/>
  <c r="I15" i="3" s="1"/>
  <c r="I5" i="2"/>
  <c r="H5" i="3" s="1"/>
  <c r="I6" i="2"/>
  <c r="H6" i="3" s="1"/>
  <c r="I7" i="2"/>
  <c r="H7" i="3" s="1"/>
  <c r="I14" i="2"/>
  <c r="E9" i="5" s="1"/>
  <c r="I15" i="2"/>
  <c r="I16" i="2"/>
  <c r="I17" i="2"/>
  <c r="H19" i="2"/>
  <c r="I22" i="2"/>
  <c r="H17" i="3" s="1"/>
  <c r="I23" i="2"/>
  <c r="I24" i="2"/>
  <c r="H19" i="3" s="1"/>
  <c r="I25" i="2"/>
  <c r="I27" i="2"/>
  <c r="H22" i="3" s="1"/>
  <c r="I29" i="2"/>
  <c r="H24" i="3" s="1"/>
  <c r="I30" i="2"/>
  <c r="E16" i="5" s="1"/>
  <c r="E17" i="6" s="1"/>
  <c r="I31" i="2"/>
  <c r="H25" i="3" s="1"/>
  <c r="I32" i="2"/>
  <c r="I33" i="2"/>
  <c r="J36" i="2"/>
  <c r="I26" i="3" s="1"/>
  <c r="F21" i="5" s="1"/>
  <c r="J44" i="2"/>
  <c r="J46" i="2"/>
  <c r="I36" i="3" s="1"/>
  <c r="J5" i="2"/>
  <c r="I5" i="3" s="1"/>
  <c r="J6" i="2"/>
  <c r="J7" i="2"/>
  <c r="I7" i="3" s="1"/>
  <c r="J14" i="2"/>
  <c r="J15" i="2"/>
  <c r="J16" i="2"/>
  <c r="J17" i="2"/>
  <c r="J22" i="2"/>
  <c r="I17" i="3" s="1"/>
  <c r="J23" i="2"/>
  <c r="I18" i="3" s="1"/>
  <c r="J24" i="2"/>
  <c r="I19" i="3" s="1"/>
  <c r="J27" i="2"/>
  <c r="I22" i="3" s="1"/>
  <c r="J30" i="2"/>
  <c r="F16" i="5" s="1"/>
  <c r="F17" i="6" s="1"/>
  <c r="J31" i="2"/>
  <c r="F17" i="5" s="1"/>
  <c r="F13" i="6" s="1"/>
  <c r="J32" i="2"/>
  <c r="J33" i="2"/>
  <c r="K36" i="2"/>
  <c r="J26" i="3" s="1"/>
  <c r="G21" i="5" s="1"/>
  <c r="K40" i="2"/>
  <c r="J30" i="3" s="1"/>
  <c r="K44" i="2"/>
  <c r="J34" i="3" s="1"/>
  <c r="K46" i="2"/>
  <c r="J36" i="3" s="1"/>
  <c r="K5" i="2"/>
  <c r="J5" i="3" s="1"/>
  <c r="K6" i="2"/>
  <c r="J6" i="3" s="1"/>
  <c r="K7" i="2"/>
  <c r="J7" i="3" s="1"/>
  <c r="K14" i="2"/>
  <c r="K15" i="2"/>
  <c r="J14" i="3" s="1"/>
  <c r="K16" i="2"/>
  <c r="K17" i="2"/>
  <c r="K22" i="2"/>
  <c r="J17" i="3" s="1"/>
  <c r="K23" i="2"/>
  <c r="J18" i="3" s="1"/>
  <c r="K24" i="2"/>
  <c r="J19" i="3" s="1"/>
  <c r="K30" i="2"/>
  <c r="G16" i="5" s="1"/>
  <c r="G17" i="6" s="1"/>
  <c r="K31" i="2"/>
  <c r="G17" i="5" s="1"/>
  <c r="G13" i="6" s="1"/>
  <c r="K32" i="2"/>
  <c r="K33" i="2"/>
  <c r="L36" i="2"/>
  <c r="K26" i="3" s="1"/>
  <c r="H21" i="5" s="1"/>
  <c r="L44" i="2"/>
  <c r="K34" i="3" s="1"/>
  <c r="L46" i="2"/>
  <c r="K36" i="3" s="1"/>
  <c r="L5" i="2"/>
  <c r="K5" i="3" s="1"/>
  <c r="L6" i="2"/>
  <c r="K6" i="3" s="1"/>
  <c r="L7" i="2"/>
  <c r="K7" i="3" s="1"/>
  <c r="L14" i="2"/>
  <c r="H9" i="5" s="1"/>
  <c r="L15" i="2"/>
  <c r="K14" i="3" s="1"/>
  <c r="L16" i="2"/>
  <c r="L17" i="2"/>
  <c r="L22" i="2"/>
  <c r="K17" i="3" s="1"/>
  <c r="L23" i="2"/>
  <c r="K18" i="3" s="1"/>
  <c r="L24" i="2"/>
  <c r="K19" i="3" s="1"/>
  <c r="L30" i="2"/>
  <c r="H16" i="5" s="1"/>
  <c r="H17" i="6" s="1"/>
  <c r="L31" i="2"/>
  <c r="K25" i="3" s="1"/>
  <c r="L32" i="2"/>
  <c r="L33" i="2"/>
  <c r="M36" i="2"/>
  <c r="L26" i="3" s="1"/>
  <c r="I21" i="5" s="1"/>
  <c r="M44" i="2"/>
  <c r="L34" i="3" s="1"/>
  <c r="M46" i="2"/>
  <c r="L36" i="3" s="1"/>
  <c r="M5" i="2"/>
  <c r="L5" i="3" s="1"/>
  <c r="M6" i="2"/>
  <c r="L6" i="3" s="1"/>
  <c r="M7" i="2"/>
  <c r="L7" i="3" s="1"/>
  <c r="M14" i="2"/>
  <c r="M15" i="2"/>
  <c r="L14" i="3" s="1"/>
  <c r="M16" i="2"/>
  <c r="M17" i="2"/>
  <c r="M22" i="2"/>
  <c r="L17" i="3" s="1"/>
  <c r="M23" i="2"/>
  <c r="L18" i="3" s="1"/>
  <c r="M24" i="2"/>
  <c r="L19" i="3" s="1"/>
  <c r="M30" i="2"/>
  <c r="I16" i="5" s="1"/>
  <c r="I17" i="6" s="1"/>
  <c r="M31" i="2"/>
  <c r="I17" i="5" s="1"/>
  <c r="I13" i="6" s="1"/>
  <c r="M32" i="2"/>
  <c r="M33" i="2"/>
  <c r="N40" i="2"/>
  <c r="M30" i="3" s="1"/>
  <c r="N44" i="2"/>
  <c r="M34" i="3" s="1"/>
  <c r="N5" i="2"/>
  <c r="M5" i="3" s="1"/>
  <c r="N6" i="2"/>
  <c r="M6" i="3" s="1"/>
  <c r="N7" i="2"/>
  <c r="M7" i="3" s="1"/>
  <c r="N14" i="2"/>
  <c r="N15" i="2"/>
  <c r="N16" i="2"/>
  <c r="N17" i="2"/>
  <c r="N22" i="2"/>
  <c r="M17" i="3" s="1"/>
  <c r="N23" i="2"/>
  <c r="M18" i="3" s="1"/>
  <c r="N24" i="2"/>
  <c r="M19" i="3" s="1"/>
  <c r="N30" i="2"/>
  <c r="J16" i="5" s="1"/>
  <c r="J17" i="6" s="1"/>
  <c r="N31" i="2"/>
  <c r="J17" i="5" s="1"/>
  <c r="J13" i="6" s="1"/>
  <c r="N32" i="2"/>
  <c r="N33" i="2"/>
  <c r="H58" i="2"/>
  <c r="H59" i="2"/>
  <c r="H36" i="2"/>
  <c r="H37" i="2"/>
  <c r="H38" i="2"/>
  <c r="G28" i="3" s="1"/>
  <c r="D23" i="5" s="1"/>
  <c r="H39" i="2"/>
  <c r="H40" i="2"/>
  <c r="G30" i="3" s="1"/>
  <c r="H41" i="2"/>
  <c r="H42" i="2"/>
  <c r="G32" i="3" s="1"/>
  <c r="H44" i="2"/>
  <c r="G34" i="3" s="1"/>
  <c r="H46" i="2"/>
  <c r="H5" i="2"/>
  <c r="H6" i="2"/>
  <c r="G6" i="3" s="1"/>
  <c r="H7" i="2"/>
  <c r="H8" i="2"/>
  <c r="H9" i="2"/>
  <c r="O9" i="2" s="1"/>
  <c r="H10" i="2"/>
  <c r="G10" i="3" s="1"/>
  <c r="H14" i="2"/>
  <c r="D9" i="5" s="1"/>
  <c r="H15" i="2"/>
  <c r="H16" i="2"/>
  <c r="H17" i="2"/>
  <c r="H22" i="2"/>
  <c r="H23" i="2"/>
  <c r="G18" i="3" s="1"/>
  <c r="H24" i="2"/>
  <c r="H26" i="2"/>
  <c r="O26" i="2" s="1"/>
  <c r="H27" i="2"/>
  <c r="H28" i="2"/>
  <c r="G23" i="3" s="1"/>
  <c r="H29" i="2"/>
  <c r="H30" i="2"/>
  <c r="D16" i="5" s="1"/>
  <c r="D17" i="6" s="1"/>
  <c r="H31" i="2"/>
  <c r="H32" i="2"/>
  <c r="H33" i="2"/>
  <c r="O66" i="2"/>
  <c r="O70" i="2"/>
  <c r="O71" i="2"/>
  <c r="O72" i="2"/>
  <c r="O73" i="2"/>
  <c r="O48" i="2"/>
  <c r="O49" i="2"/>
  <c r="O11" i="2"/>
  <c r="O12" i="2"/>
  <c r="O13" i="2"/>
  <c r="O75" i="2"/>
  <c r="B41" i="8"/>
  <c r="A41" i="8"/>
  <c r="B40" i="8"/>
  <c r="A40" i="8"/>
  <c r="B39" i="8"/>
  <c r="A39" i="8"/>
  <c r="B38" i="8"/>
  <c r="A38" i="8"/>
  <c r="B37" i="8"/>
  <c r="A37" i="8"/>
  <c r="B36" i="8"/>
  <c r="A36" i="8"/>
  <c r="B35" i="8"/>
  <c r="A35" i="8"/>
  <c r="B34" i="8"/>
  <c r="A34" i="8"/>
  <c r="B33" i="8"/>
  <c r="A33" i="8"/>
  <c r="B32" i="8"/>
  <c r="A32" i="8"/>
  <c r="B31" i="8"/>
  <c r="A31" i="8"/>
  <c r="B30" i="8"/>
  <c r="A30" i="8"/>
  <c r="B29" i="8"/>
  <c r="A29" i="8"/>
  <c r="B28" i="8"/>
  <c r="A28" i="8"/>
  <c r="B27" i="8"/>
  <c r="A27" i="8"/>
  <c r="B25" i="8"/>
  <c r="A25" i="8"/>
  <c r="B24" i="8"/>
  <c r="A24" i="8"/>
  <c r="B23" i="8"/>
  <c r="A23" i="8"/>
  <c r="B22" i="8"/>
  <c r="A22" i="8"/>
  <c r="B21" i="8"/>
  <c r="A21" i="8"/>
  <c r="B20" i="8"/>
  <c r="A20" i="8"/>
  <c r="B19" i="8"/>
  <c r="A19" i="8"/>
  <c r="B17" i="8"/>
  <c r="A17" i="8"/>
  <c r="B16" i="8"/>
  <c r="A16" i="8"/>
  <c r="B15" i="8"/>
  <c r="A15" i="8"/>
  <c r="B14" i="8"/>
  <c r="A14" i="8"/>
  <c r="B13" i="8"/>
  <c r="A13" i="8"/>
  <c r="B12" i="8"/>
  <c r="A12" i="8"/>
  <c r="B11" i="8"/>
  <c r="A11" i="8"/>
  <c r="B10" i="8"/>
  <c r="A10" i="8"/>
  <c r="B9" i="8"/>
  <c r="A9" i="8"/>
  <c r="B8" i="8"/>
  <c r="A8" i="8"/>
  <c r="B7" i="8"/>
  <c r="A7" i="8"/>
  <c r="B6" i="8"/>
  <c r="A6" i="8"/>
  <c r="B5" i="8"/>
  <c r="A5" i="8"/>
  <c r="B4" i="8"/>
  <c r="A4" i="8"/>
  <c r="G529" i="1"/>
  <c r="F529" i="1" s="1"/>
  <c r="G533" i="1"/>
  <c r="F533" i="1" s="1"/>
  <c r="G525" i="1"/>
  <c r="F525" i="1" s="1"/>
  <c r="G38" i="3"/>
  <c r="H37" i="3"/>
  <c r="H38" i="3"/>
  <c r="I37" i="3"/>
  <c r="I38" i="3"/>
  <c r="J37" i="3"/>
  <c r="J38" i="3"/>
  <c r="K37" i="3"/>
  <c r="K38" i="3"/>
  <c r="L38" i="3"/>
  <c r="M38" i="3"/>
  <c r="I42" i="3"/>
  <c r="F32" i="6" s="1"/>
  <c r="D40" i="6"/>
  <c r="D39" i="6" s="1"/>
  <c r="I34" i="3"/>
  <c r="E15" i="5"/>
  <c r="E12" i="6" s="1"/>
  <c r="D43" i="6"/>
  <c r="E29" i="5"/>
  <c r="F29" i="5"/>
  <c r="F34" i="5"/>
  <c r="G29" i="5"/>
  <c r="I29" i="5"/>
  <c r="J29" i="5"/>
  <c r="H29" i="5"/>
  <c r="D29" i="5"/>
  <c r="D37" i="5"/>
  <c r="I41" i="5"/>
  <c r="J41" i="5"/>
  <c r="F38" i="5"/>
  <c r="H38" i="5"/>
  <c r="I38" i="5"/>
  <c r="I36" i="5"/>
  <c r="J36" i="5"/>
  <c r="D36" i="5"/>
  <c r="H35" i="5"/>
  <c r="I35" i="5"/>
  <c r="J35" i="5"/>
  <c r="G34" i="5"/>
  <c r="H34" i="5"/>
  <c r="I34" i="5"/>
  <c r="J34" i="5"/>
  <c r="G32" i="5"/>
  <c r="H32" i="5"/>
  <c r="I32" i="5"/>
  <c r="J32" i="5"/>
  <c r="D32" i="5"/>
  <c r="J30" i="5"/>
  <c r="I30" i="5"/>
  <c r="D30" i="5"/>
  <c r="G15" i="3"/>
  <c r="E5" i="1"/>
  <c r="F5" i="1"/>
  <c r="E6" i="1"/>
  <c r="F6" i="1"/>
  <c r="E7" i="1"/>
  <c r="F7" i="1"/>
  <c r="E8" i="1"/>
  <c r="F8" i="1"/>
  <c r="E9" i="1"/>
  <c r="F9" i="1"/>
  <c r="E11" i="1"/>
  <c r="F11" i="1"/>
  <c r="E12" i="1"/>
  <c r="F12" i="1"/>
  <c r="E13" i="1"/>
  <c r="F13" i="1"/>
  <c r="E14" i="1"/>
  <c r="F14" i="1"/>
  <c r="E15" i="1"/>
  <c r="F15" i="1"/>
  <c r="E16" i="1"/>
  <c r="F16" i="1"/>
  <c r="E17" i="1"/>
  <c r="F17" i="1"/>
  <c r="E18" i="1"/>
  <c r="F18" i="1"/>
  <c r="E19" i="1"/>
  <c r="F19" i="1"/>
  <c r="E20" i="1"/>
  <c r="F20" i="1"/>
  <c r="E21" i="1"/>
  <c r="F21" i="1"/>
  <c r="E23" i="1"/>
  <c r="F23" i="1"/>
  <c r="E24" i="1"/>
  <c r="F24" i="1"/>
  <c r="E25" i="1"/>
  <c r="F25" i="1"/>
  <c r="E26" i="1"/>
  <c r="F26" i="1"/>
  <c r="E27" i="1"/>
  <c r="F27" i="1"/>
  <c r="E28" i="1"/>
  <c r="F28" i="1"/>
  <c r="E29" i="1"/>
  <c r="F29" i="1"/>
  <c r="E30" i="1"/>
  <c r="F30" i="1"/>
  <c r="E31" i="1"/>
  <c r="F31" i="1"/>
  <c r="E32" i="1"/>
  <c r="F32" i="1"/>
  <c r="B133" i="1"/>
  <c r="B134" i="1"/>
  <c r="B135" i="1"/>
  <c r="B136" i="1"/>
  <c r="B137" i="1"/>
  <c r="E74" i="1"/>
  <c r="G74" i="1" s="1"/>
  <c r="G73" i="1" s="1"/>
  <c r="E140" i="1"/>
  <c r="F140" i="1"/>
  <c r="E141" i="1"/>
  <c r="F141" i="1"/>
  <c r="E142" i="1"/>
  <c r="F142" i="1"/>
  <c r="E143" i="1"/>
  <c r="F143" i="1"/>
  <c r="E144" i="1"/>
  <c r="F144" i="1"/>
  <c r="E145" i="1"/>
  <c r="F145" i="1"/>
  <c r="B153" i="1"/>
  <c r="B154" i="1"/>
  <c r="B155" i="1"/>
  <c r="B156" i="1"/>
  <c r="B157" i="1"/>
  <c r="G148" i="1"/>
  <c r="E149" i="1"/>
  <c r="G149" i="1" s="1"/>
  <c r="E150" i="1"/>
  <c r="G150" i="1" s="1"/>
  <c r="E80" i="1"/>
  <c r="F80" i="1"/>
  <c r="E81" i="1"/>
  <c r="F81" i="1"/>
  <c r="E84" i="1"/>
  <c r="F84" i="1"/>
  <c r="E85" i="1"/>
  <c r="F85" i="1"/>
  <c r="E86" i="1"/>
  <c r="F86" i="1"/>
  <c r="E87" i="1"/>
  <c r="F87" i="1"/>
  <c r="E88" i="1"/>
  <c r="F88" i="1"/>
  <c r="E89" i="1"/>
  <c r="F89" i="1"/>
  <c r="E90" i="1"/>
  <c r="F90" i="1"/>
  <c r="E91" i="1"/>
  <c r="F91" i="1"/>
  <c r="E92" i="1"/>
  <c r="F92" i="1"/>
  <c r="E93" i="1"/>
  <c r="F93" i="1"/>
  <c r="E94" i="1"/>
  <c r="F94" i="1"/>
  <c r="E95" i="1"/>
  <c r="F95" i="1"/>
  <c r="E96" i="1"/>
  <c r="F96" i="1"/>
  <c r="E97" i="1"/>
  <c r="F97" i="1"/>
  <c r="E100" i="1"/>
  <c r="F100" i="1"/>
  <c r="E101" i="1"/>
  <c r="F101" i="1"/>
  <c r="E102" i="1"/>
  <c r="F102" i="1"/>
  <c r="E103" i="1"/>
  <c r="F103" i="1"/>
  <c r="E104" i="1"/>
  <c r="F104" i="1"/>
  <c r="E105" i="1"/>
  <c r="F105" i="1"/>
  <c r="E106" i="1"/>
  <c r="F106" i="1"/>
  <c r="E107" i="1"/>
  <c r="F107" i="1"/>
  <c r="E108" i="1"/>
  <c r="F108" i="1"/>
  <c r="E109" i="1"/>
  <c r="F109" i="1"/>
  <c r="E110" i="1"/>
  <c r="F110" i="1"/>
  <c r="E111" i="1"/>
  <c r="F111" i="1"/>
  <c r="E112" i="1"/>
  <c r="F112" i="1"/>
  <c r="E113" i="1"/>
  <c r="F113" i="1"/>
  <c r="E114" i="1"/>
  <c r="F114" i="1"/>
  <c r="E115" i="1"/>
  <c r="F115" i="1"/>
  <c r="E167" i="1"/>
  <c r="F167" i="1"/>
  <c r="E168" i="1"/>
  <c r="F168" i="1"/>
  <c r="E169" i="1"/>
  <c r="F169" i="1"/>
  <c r="E171" i="1"/>
  <c r="F171" i="1"/>
  <c r="E172" i="1"/>
  <c r="F172" i="1"/>
  <c r="E173" i="1"/>
  <c r="F173" i="1"/>
  <c r="E174" i="1"/>
  <c r="F174" i="1"/>
  <c r="E175" i="1"/>
  <c r="F175" i="1"/>
  <c r="E176" i="1"/>
  <c r="F176" i="1"/>
  <c r="E177" i="1"/>
  <c r="F177" i="1"/>
  <c r="E178" i="1"/>
  <c r="F178" i="1"/>
  <c r="E179" i="1"/>
  <c r="F179" i="1"/>
  <c r="E180" i="1"/>
  <c r="F180" i="1"/>
  <c r="E181" i="1"/>
  <c r="F181" i="1"/>
  <c r="E182" i="1"/>
  <c r="F182" i="1"/>
  <c r="E183" i="1"/>
  <c r="F183" i="1"/>
  <c r="E184" i="1"/>
  <c r="F184" i="1"/>
  <c r="E185" i="1"/>
  <c r="F185" i="1"/>
  <c r="E187" i="1"/>
  <c r="F187" i="1"/>
  <c r="E188" i="1"/>
  <c r="F188" i="1"/>
  <c r="E189" i="1"/>
  <c r="F189" i="1"/>
  <c r="E190" i="1"/>
  <c r="F190" i="1"/>
  <c r="E191" i="1"/>
  <c r="F191" i="1"/>
  <c r="E192" i="1"/>
  <c r="F192" i="1"/>
  <c r="E193" i="1"/>
  <c r="F193" i="1"/>
  <c r="E194" i="1"/>
  <c r="F194" i="1"/>
  <c r="E195" i="1"/>
  <c r="F195" i="1"/>
  <c r="E196" i="1"/>
  <c r="F196" i="1"/>
  <c r="F198" i="1"/>
  <c r="G198" i="1" s="1"/>
  <c r="F199" i="1"/>
  <c r="G199" i="1" s="1"/>
  <c r="B270" i="1"/>
  <c r="B271" i="1"/>
  <c r="B272" i="1"/>
  <c r="B273" i="1"/>
  <c r="B274" i="1"/>
  <c r="E277" i="1"/>
  <c r="F277" i="1"/>
  <c r="E278" i="1"/>
  <c r="G278" i="1" s="1"/>
  <c r="E279" i="1"/>
  <c r="F279" i="1"/>
  <c r="B282" i="1"/>
  <c r="B283" i="1"/>
  <c r="B284" i="1"/>
  <c r="B285" i="1"/>
  <c r="B286" i="1"/>
  <c r="G289" i="1"/>
  <c r="G288" i="1" s="1"/>
  <c r="G241" i="1"/>
  <c r="G240" i="1" s="1"/>
  <c r="E245" i="1"/>
  <c r="F245" i="1"/>
  <c r="E246" i="1"/>
  <c r="F246" i="1"/>
  <c r="E249" i="1"/>
  <c r="F249" i="1"/>
  <c r="J3" i="3"/>
  <c r="K3" i="3"/>
  <c r="L3" i="3"/>
  <c r="M3" i="3"/>
  <c r="H8" i="3"/>
  <c r="I8" i="3"/>
  <c r="J8" i="3"/>
  <c r="K8" i="3"/>
  <c r="L8" i="3"/>
  <c r="M8" i="3"/>
  <c r="H9" i="3"/>
  <c r="I9" i="3"/>
  <c r="J9" i="3"/>
  <c r="K9" i="3"/>
  <c r="L9" i="3"/>
  <c r="M9" i="3"/>
  <c r="H10" i="3"/>
  <c r="I10" i="3"/>
  <c r="J10" i="3"/>
  <c r="K10" i="3"/>
  <c r="L10" i="3"/>
  <c r="M10" i="3"/>
  <c r="G11" i="3"/>
  <c r="H11" i="3"/>
  <c r="I11" i="3"/>
  <c r="J11" i="3"/>
  <c r="K11" i="3"/>
  <c r="L11" i="3"/>
  <c r="M11" i="3"/>
  <c r="G12" i="3"/>
  <c r="H12" i="3"/>
  <c r="I12" i="3"/>
  <c r="J12" i="3"/>
  <c r="K12" i="3"/>
  <c r="L12" i="3"/>
  <c r="M12" i="3"/>
  <c r="G13" i="3"/>
  <c r="H13" i="3"/>
  <c r="I13" i="3"/>
  <c r="J13" i="3"/>
  <c r="K13" i="3"/>
  <c r="L13" i="3"/>
  <c r="M13" i="3"/>
  <c r="J15" i="3"/>
  <c r="K15" i="3"/>
  <c r="L15" i="3"/>
  <c r="M15" i="3"/>
  <c r="G20" i="3"/>
  <c r="I20" i="3"/>
  <c r="J20" i="3"/>
  <c r="K20" i="3"/>
  <c r="L20" i="3"/>
  <c r="M20" i="3"/>
  <c r="H21" i="3"/>
  <c r="I21" i="3"/>
  <c r="J21" i="3"/>
  <c r="K21" i="3"/>
  <c r="L21" i="3"/>
  <c r="M21" i="3"/>
  <c r="J22" i="3"/>
  <c r="K22" i="3"/>
  <c r="L22" i="3"/>
  <c r="M22" i="3"/>
  <c r="H23" i="3"/>
  <c r="I23" i="3"/>
  <c r="J23" i="3"/>
  <c r="K23" i="3"/>
  <c r="L23" i="3"/>
  <c r="M23" i="3"/>
  <c r="I24" i="3"/>
  <c r="J24" i="3"/>
  <c r="K24" i="3"/>
  <c r="L24" i="3"/>
  <c r="M24" i="3"/>
  <c r="M26" i="3"/>
  <c r="J21" i="5" s="1"/>
  <c r="J21" i="6" s="1"/>
  <c r="I27" i="3"/>
  <c r="F22" i="5" s="1"/>
  <c r="F22" i="6" s="1"/>
  <c r="J27" i="3"/>
  <c r="G22" i="5" s="1"/>
  <c r="G22" i="6" s="1"/>
  <c r="K27" i="3"/>
  <c r="H22" i="5" s="1"/>
  <c r="H22" i="6" s="1"/>
  <c r="L27" i="3"/>
  <c r="I22" i="5" s="1"/>
  <c r="I22" i="6" s="1"/>
  <c r="M27" i="3"/>
  <c r="J22" i="5" s="1"/>
  <c r="I28" i="3"/>
  <c r="F23" i="5" s="1"/>
  <c r="F23" i="6" s="1"/>
  <c r="J28" i="3"/>
  <c r="G23" i="5" s="1"/>
  <c r="G23" i="6" s="1"/>
  <c r="K28" i="3"/>
  <c r="H23" i="5" s="1"/>
  <c r="H23" i="6" s="1"/>
  <c r="L28" i="3"/>
  <c r="I23" i="5" s="1"/>
  <c r="I23" i="6" s="1"/>
  <c r="M28" i="3"/>
  <c r="J23" i="5" s="1"/>
  <c r="J23" i="6" s="1"/>
  <c r="I29" i="3"/>
  <c r="J29" i="3"/>
  <c r="K29" i="3"/>
  <c r="L29" i="3"/>
  <c r="M29" i="3"/>
  <c r="H30" i="3"/>
  <c r="I30" i="3"/>
  <c r="K30" i="3"/>
  <c r="L30" i="3"/>
  <c r="H32" i="3"/>
  <c r="I32" i="3"/>
  <c r="J32" i="3"/>
  <c r="K32" i="3"/>
  <c r="L32" i="3"/>
  <c r="M32" i="3"/>
  <c r="H33" i="3"/>
  <c r="I33" i="3"/>
  <c r="J33" i="3"/>
  <c r="K33" i="3"/>
  <c r="L33" i="3"/>
  <c r="M33" i="3"/>
  <c r="M36" i="3"/>
  <c r="G37" i="3"/>
  <c r="L37" i="3"/>
  <c r="M37" i="3"/>
  <c r="G39" i="3"/>
  <c r="D29" i="6" s="1"/>
  <c r="L39" i="3"/>
  <c r="I29" i="6" s="1"/>
  <c r="M39" i="3"/>
  <c r="J29" i="6" s="1"/>
  <c r="G41" i="3"/>
  <c r="D31" i="6" s="1"/>
  <c r="J41" i="3"/>
  <c r="G31" i="6" s="1"/>
  <c r="K41" i="3"/>
  <c r="H31" i="6" s="1"/>
  <c r="L41" i="3"/>
  <c r="I31" i="6" s="1"/>
  <c r="M41" i="3"/>
  <c r="J31" i="6" s="1"/>
  <c r="J42" i="3"/>
  <c r="G32" i="6" s="1"/>
  <c r="K42" i="3"/>
  <c r="H32" i="6" s="1"/>
  <c r="L42" i="3"/>
  <c r="I32" i="6" s="1"/>
  <c r="M42" i="3"/>
  <c r="J32" i="6" s="1"/>
  <c r="K43" i="3"/>
  <c r="H33" i="6" s="1"/>
  <c r="L43" i="3"/>
  <c r="I33" i="6" s="1"/>
  <c r="M43" i="3"/>
  <c r="J33" i="6" s="1"/>
  <c r="G44" i="3"/>
  <c r="D34" i="6" s="1"/>
  <c r="L44" i="3"/>
  <c r="I34" i="6" s="1"/>
  <c r="M44" i="3"/>
  <c r="J34" i="6" s="1"/>
  <c r="H45" i="3"/>
  <c r="I45" i="3"/>
  <c r="K45" i="3"/>
  <c r="L45" i="3"/>
  <c r="I46" i="3"/>
  <c r="J46" i="3"/>
  <c r="K46" i="3"/>
  <c r="L46" i="3"/>
  <c r="M46" i="3"/>
  <c r="H47" i="3"/>
  <c r="I47" i="3"/>
  <c r="J47" i="3"/>
  <c r="K47" i="3"/>
  <c r="L47" i="3"/>
  <c r="M47" i="3"/>
  <c r="L49" i="3"/>
  <c r="I37" i="6" s="1"/>
  <c r="M49" i="3"/>
  <c r="J37" i="6" s="1"/>
  <c r="G51" i="3"/>
  <c r="J51" i="3"/>
  <c r="K51" i="3"/>
  <c r="L51" i="3"/>
  <c r="M51" i="3"/>
  <c r="G53" i="3"/>
  <c r="H53" i="3"/>
  <c r="I53" i="3"/>
  <c r="J53" i="3"/>
  <c r="K53" i="3"/>
  <c r="L53" i="3"/>
  <c r="M53" i="3"/>
  <c r="H55" i="3"/>
  <c r="I55" i="3"/>
  <c r="J55" i="3"/>
  <c r="K55" i="3"/>
  <c r="L55" i="3"/>
  <c r="M55" i="3"/>
  <c r="G57" i="3"/>
  <c r="H57" i="3"/>
  <c r="I57" i="3"/>
  <c r="J57" i="3"/>
  <c r="K57" i="3"/>
  <c r="L57" i="3"/>
  <c r="M57" i="3"/>
  <c r="G58" i="3"/>
  <c r="H58" i="3"/>
  <c r="I58" i="3"/>
  <c r="J58" i="3"/>
  <c r="K58" i="3"/>
  <c r="L58" i="3"/>
  <c r="M58" i="3"/>
  <c r="G59" i="3"/>
  <c r="H59" i="3"/>
  <c r="I59" i="3"/>
  <c r="J59" i="3"/>
  <c r="K59" i="3"/>
  <c r="L59" i="3"/>
  <c r="M59" i="3"/>
  <c r="G60" i="3"/>
  <c r="H60" i="3"/>
  <c r="I60" i="3"/>
  <c r="J60" i="3"/>
  <c r="K60" i="3"/>
  <c r="L60" i="3"/>
  <c r="M60" i="3"/>
  <c r="O60" i="3"/>
  <c r="O59" i="3"/>
  <c r="O58" i="3"/>
  <c r="O57" i="3"/>
  <c r="O56" i="3"/>
  <c r="O55" i="3"/>
  <c r="O54" i="3"/>
  <c r="O53" i="3"/>
  <c r="O52" i="3"/>
  <c r="E60" i="3"/>
  <c r="E59" i="3"/>
  <c r="E58" i="3"/>
  <c r="E57" i="3"/>
  <c r="E56" i="3"/>
  <c r="E55" i="3"/>
  <c r="D55" i="3"/>
  <c r="E54" i="3"/>
  <c r="D54" i="3"/>
  <c r="E53" i="3"/>
  <c r="D53" i="3"/>
  <c r="E52" i="3"/>
  <c r="D52" i="3"/>
  <c r="O51" i="3"/>
  <c r="E51" i="3"/>
  <c r="O50" i="3"/>
  <c r="E50" i="3"/>
  <c r="D50" i="3"/>
  <c r="O49" i="3"/>
  <c r="E49" i="3"/>
  <c r="D49" i="3"/>
  <c r="O48" i="3"/>
  <c r="E48" i="3"/>
  <c r="D48" i="3"/>
  <c r="O47" i="3"/>
  <c r="E47" i="3"/>
  <c r="O46" i="3"/>
  <c r="E46" i="3"/>
  <c r="D46" i="3"/>
  <c r="O45" i="3"/>
  <c r="E45" i="3"/>
  <c r="O44" i="3"/>
  <c r="E44" i="3"/>
  <c r="C44" i="3"/>
  <c r="B44" i="3"/>
  <c r="O43" i="3"/>
  <c r="E43" i="3"/>
  <c r="D43" i="3"/>
  <c r="C43" i="3"/>
  <c r="B43" i="3"/>
  <c r="O42" i="3"/>
  <c r="E42" i="3"/>
  <c r="D42" i="3"/>
  <c r="C42" i="3"/>
  <c r="B42" i="3"/>
  <c r="O41" i="3"/>
  <c r="E41" i="3"/>
  <c r="D41" i="3"/>
  <c r="C41" i="3"/>
  <c r="B41" i="3"/>
  <c r="O39" i="3"/>
  <c r="O38" i="3"/>
  <c r="E38" i="3"/>
  <c r="O36" i="3"/>
  <c r="O37" i="3"/>
  <c r="E37" i="3"/>
  <c r="D37" i="3"/>
  <c r="B37" i="3"/>
  <c r="A509" i="1"/>
  <c r="A501" i="1"/>
  <c r="A498" i="1"/>
  <c r="A493" i="1"/>
  <c r="A482" i="1"/>
  <c r="A477" i="1"/>
  <c r="A472" i="1"/>
  <c r="A467" i="1"/>
  <c r="A459" i="1"/>
  <c r="A456" i="1"/>
  <c r="A447" i="1"/>
  <c r="A443" i="1"/>
  <c r="A434" i="1"/>
  <c r="A427" i="1"/>
  <c r="A418" i="1"/>
  <c r="A415" i="1"/>
  <c r="A411" i="1"/>
  <c r="A406" i="1"/>
  <c r="A401" i="1"/>
  <c r="A395" i="1"/>
  <c r="A389" i="1"/>
  <c r="A384" i="1"/>
  <c r="A380" i="1"/>
  <c r="A374" i="1"/>
  <c r="A358" i="1"/>
  <c r="A352" i="1"/>
  <c r="E36" i="3"/>
  <c r="O35" i="3"/>
  <c r="E35" i="3"/>
  <c r="O34" i="3"/>
  <c r="E34" i="3"/>
  <c r="O33" i="3"/>
  <c r="E33" i="3"/>
  <c r="O32" i="3"/>
  <c r="O31" i="3"/>
  <c r="O30" i="3"/>
  <c r="O29" i="3"/>
  <c r="O28" i="3"/>
  <c r="O27" i="3"/>
  <c r="A324" i="1"/>
  <c r="A321" i="1"/>
  <c r="A318" i="1"/>
  <c r="A314" i="1"/>
  <c r="A310" i="1"/>
  <c r="A306" i="1"/>
  <c r="A344" i="1"/>
  <c r="A336" i="1"/>
  <c r="A327" i="1"/>
  <c r="D34" i="3"/>
  <c r="E32" i="3"/>
  <c r="E31" i="3"/>
  <c r="E30" i="3"/>
  <c r="E29" i="3"/>
  <c r="D29" i="3"/>
  <c r="B29" i="3"/>
  <c r="E28" i="3"/>
  <c r="D28" i="3"/>
  <c r="B28" i="3"/>
  <c r="E27" i="3"/>
  <c r="D27" i="3"/>
  <c r="B27" i="3"/>
  <c r="O26" i="3"/>
  <c r="E26" i="3"/>
  <c r="D26" i="3"/>
  <c r="B26" i="3"/>
  <c r="A302" i="1"/>
  <c r="A294" i="1"/>
  <c r="D7" i="5"/>
  <c r="D7" i="6" s="1"/>
  <c r="E7" i="5"/>
  <c r="E7" i="6" s="1"/>
  <c r="F7" i="5"/>
  <c r="F7" i="6" s="1"/>
  <c r="G7" i="5"/>
  <c r="G7" i="6" s="1"/>
  <c r="H7" i="5"/>
  <c r="H7" i="6" s="1"/>
  <c r="I7" i="5"/>
  <c r="I7" i="6" s="1"/>
  <c r="J7" i="5"/>
  <c r="J7" i="6" s="1"/>
  <c r="D8" i="5"/>
  <c r="D8" i="6" s="1"/>
  <c r="E8" i="5"/>
  <c r="E8" i="6" s="1"/>
  <c r="F8" i="5"/>
  <c r="F8" i="6" s="1"/>
  <c r="G8" i="5"/>
  <c r="G8" i="6" s="1"/>
  <c r="H8" i="5"/>
  <c r="H8" i="6" s="1"/>
  <c r="I8" i="5"/>
  <c r="I8" i="6" s="1"/>
  <c r="J8" i="5"/>
  <c r="J8" i="6" s="1"/>
  <c r="G14" i="5"/>
  <c r="G11" i="6" s="1"/>
  <c r="H14" i="5"/>
  <c r="H11" i="6" s="1"/>
  <c r="I14" i="5"/>
  <c r="I11" i="6" s="1"/>
  <c r="J14" i="5"/>
  <c r="J11" i="6" s="1"/>
  <c r="F15" i="5"/>
  <c r="F12" i="6" s="1"/>
  <c r="G15" i="5"/>
  <c r="G12" i="6" s="1"/>
  <c r="H15" i="5"/>
  <c r="H12" i="6" s="1"/>
  <c r="I15" i="5"/>
  <c r="I12" i="6" s="1"/>
  <c r="J15" i="5"/>
  <c r="J12" i="6" s="1"/>
  <c r="A288" i="1"/>
  <c r="A281" i="1"/>
  <c r="A276" i="1"/>
  <c r="A269" i="1"/>
  <c r="O25" i="3"/>
  <c r="E25" i="3"/>
  <c r="D25" i="3"/>
  <c r="B25" i="3"/>
  <c r="B24" i="3"/>
  <c r="B22" i="3"/>
  <c r="B15" i="3"/>
  <c r="O24" i="3"/>
  <c r="E24" i="3"/>
  <c r="D24" i="3"/>
  <c r="D22" i="3"/>
  <c r="O23" i="3"/>
  <c r="E23" i="3"/>
  <c r="O22" i="3"/>
  <c r="E22" i="3"/>
  <c r="O16" i="3"/>
  <c r="O17" i="3"/>
  <c r="O18" i="3"/>
  <c r="O19" i="3"/>
  <c r="O20" i="3"/>
  <c r="O21" i="3"/>
  <c r="O15" i="3"/>
  <c r="A265" i="1"/>
  <c r="A262" i="1"/>
  <c r="A257" i="1"/>
  <c r="A254" i="1"/>
  <c r="A251" i="1"/>
  <c r="A248" i="1"/>
  <c r="A244" i="1"/>
  <c r="A240" i="1"/>
  <c r="E21" i="3"/>
  <c r="E20" i="3"/>
  <c r="E19" i="3"/>
  <c r="E18" i="3"/>
  <c r="E17" i="3"/>
  <c r="E16" i="3"/>
  <c r="A201" i="1"/>
  <c r="E15" i="3"/>
  <c r="D15" i="3"/>
  <c r="A165" i="1"/>
  <c r="G163" i="1"/>
  <c r="G162" i="1" s="1"/>
  <c r="A162" i="1"/>
  <c r="A159" i="1"/>
  <c r="A152" i="1"/>
  <c r="O14" i="3"/>
  <c r="E14" i="3"/>
  <c r="D14" i="3"/>
  <c r="O13" i="3"/>
  <c r="E13" i="3"/>
  <c r="D13" i="3"/>
  <c r="D11" i="3"/>
  <c r="O12" i="3"/>
  <c r="E12" i="3"/>
  <c r="O11" i="3"/>
  <c r="E11" i="3"/>
  <c r="O10" i="3"/>
  <c r="E10" i="3"/>
  <c r="O9" i="3"/>
  <c r="E9" i="3"/>
  <c r="O8" i="3"/>
  <c r="E8" i="3"/>
  <c r="O7" i="3"/>
  <c r="E7" i="3"/>
  <c r="O6" i="3"/>
  <c r="E6" i="3"/>
  <c r="O5" i="3"/>
  <c r="E5" i="3"/>
  <c r="O4" i="3"/>
  <c r="E3" i="3"/>
  <c r="E4" i="3"/>
  <c r="O3" i="3"/>
  <c r="F470" i="1"/>
  <c r="G470" i="1" s="1"/>
  <c r="G475" i="1" s="1"/>
  <c r="F475" i="1" s="1"/>
  <c r="F469" i="1"/>
  <c r="G469" i="1" s="1"/>
  <c r="F468" i="1"/>
  <c r="G468" i="1" s="1"/>
  <c r="G473" i="1" s="1"/>
  <c r="G460" i="1"/>
  <c r="G461" i="1"/>
  <c r="G462" i="1"/>
  <c r="G463" i="1"/>
  <c r="G464" i="1"/>
  <c r="G451" i="1"/>
  <c r="G450" i="1"/>
  <c r="G537" i="1"/>
  <c r="G536" i="1" s="1"/>
  <c r="G541" i="1"/>
  <c r="G540" i="1" s="1"/>
  <c r="F543" i="1"/>
  <c r="F542" i="1"/>
  <c r="F539" i="1"/>
  <c r="F538" i="1"/>
  <c r="G531" i="1"/>
  <c r="G523" i="1"/>
  <c r="G527" i="1"/>
  <c r="F532" i="1"/>
  <c r="F528" i="1"/>
  <c r="F524" i="1"/>
  <c r="G325" i="1"/>
  <c r="H43" i="2" s="1"/>
  <c r="A47" i="7"/>
  <c r="A46" i="7"/>
  <c r="A45" i="7"/>
  <c r="D44" i="7"/>
  <c r="A44" i="7"/>
  <c r="A43" i="7"/>
  <c r="A42" i="7"/>
  <c r="A41" i="7"/>
  <c r="A40" i="7"/>
  <c r="A39" i="7"/>
  <c r="A38" i="7"/>
  <c r="A37" i="7"/>
  <c r="A36" i="7"/>
  <c r="A35" i="7"/>
  <c r="A34" i="7"/>
  <c r="D33" i="7"/>
  <c r="A33" i="7"/>
  <c r="A31" i="7"/>
  <c r="A30" i="7"/>
  <c r="D29" i="7"/>
  <c r="A29" i="7"/>
  <c r="A28" i="7"/>
  <c r="A27" i="7"/>
  <c r="A26" i="7"/>
  <c r="D25" i="7"/>
  <c r="A23" i="7"/>
  <c r="A22" i="7"/>
  <c r="A21" i="7"/>
  <c r="A20" i="7"/>
  <c r="A19" i="7"/>
  <c r="A18" i="7"/>
  <c r="A17" i="7"/>
  <c r="A16" i="7"/>
  <c r="A15" i="7"/>
  <c r="A14" i="7"/>
  <c r="A13" i="7"/>
  <c r="A12" i="7"/>
  <c r="A11" i="7"/>
  <c r="A10" i="7"/>
  <c r="I58" i="6"/>
  <c r="J58" i="6" s="1"/>
  <c r="C58" i="6"/>
  <c r="I57" i="6"/>
  <c r="J57" i="6" s="1"/>
  <c r="I56" i="6"/>
  <c r="J56" i="6" s="1"/>
  <c r="C56" i="6"/>
  <c r="B40" i="6"/>
  <c r="A40" i="6"/>
  <c r="B38" i="6"/>
  <c r="A38" i="6"/>
  <c r="B37" i="6"/>
  <c r="A37" i="6"/>
  <c r="B36" i="6"/>
  <c r="A36" i="6"/>
  <c r="B35" i="6"/>
  <c r="A35" i="6"/>
  <c r="B34" i="6"/>
  <c r="A34" i="6"/>
  <c r="B33" i="6"/>
  <c r="A33" i="6"/>
  <c r="B32" i="6"/>
  <c r="A32" i="6"/>
  <c r="B31" i="6"/>
  <c r="A31" i="6"/>
  <c r="B30" i="6"/>
  <c r="A30" i="6"/>
  <c r="B29" i="6"/>
  <c r="A29" i="6"/>
  <c r="B28" i="6"/>
  <c r="A28" i="6"/>
  <c r="B25" i="6"/>
  <c r="A25" i="6"/>
  <c r="B24" i="6"/>
  <c r="A24" i="6"/>
  <c r="B23" i="6"/>
  <c r="A23" i="6"/>
  <c r="B22" i="6"/>
  <c r="A22" i="6"/>
  <c r="B21" i="6"/>
  <c r="A21" i="6"/>
  <c r="B18" i="6"/>
  <c r="A18" i="6"/>
  <c r="B17" i="6"/>
  <c r="A17" i="6"/>
  <c r="B16" i="6"/>
  <c r="A16" i="6"/>
  <c r="B15" i="6"/>
  <c r="A15" i="6"/>
  <c r="B13" i="6"/>
  <c r="A13" i="6"/>
  <c r="B12" i="6"/>
  <c r="A12" i="6"/>
  <c r="B11" i="6"/>
  <c r="A11" i="6"/>
  <c r="B10" i="6"/>
  <c r="A10" i="6"/>
  <c r="B9" i="6"/>
  <c r="A9" i="6"/>
  <c r="B8" i="6"/>
  <c r="A8" i="6"/>
  <c r="B7" i="6"/>
  <c r="A7" i="6"/>
  <c r="B6" i="6"/>
  <c r="A6" i="6"/>
  <c r="B42" i="5"/>
  <c r="A42" i="5"/>
  <c r="B41" i="5"/>
  <c r="A41" i="5"/>
  <c r="B40" i="5"/>
  <c r="A40" i="5"/>
  <c r="B39" i="5"/>
  <c r="A39" i="5"/>
  <c r="B38" i="5"/>
  <c r="A38" i="5"/>
  <c r="B37" i="5"/>
  <c r="A37" i="5"/>
  <c r="B36" i="5"/>
  <c r="A36" i="5"/>
  <c r="B35" i="5"/>
  <c r="A35" i="5"/>
  <c r="B34" i="5"/>
  <c r="A34" i="5"/>
  <c r="B33" i="5"/>
  <c r="A33" i="5"/>
  <c r="B32" i="5"/>
  <c r="A32" i="5"/>
  <c r="B31" i="5"/>
  <c r="A31" i="5"/>
  <c r="B30" i="5"/>
  <c r="A30" i="5"/>
  <c r="B29" i="5"/>
  <c r="A29" i="5"/>
  <c r="B28" i="5"/>
  <c r="A28" i="5"/>
  <c r="B26" i="5"/>
  <c r="A26" i="5"/>
  <c r="B25" i="5"/>
  <c r="A25" i="5"/>
  <c r="B24" i="5"/>
  <c r="A24" i="5"/>
  <c r="B23" i="5"/>
  <c r="A23" i="5"/>
  <c r="B22" i="5"/>
  <c r="A22" i="5"/>
  <c r="B21" i="5"/>
  <c r="A21" i="5"/>
  <c r="B20" i="5"/>
  <c r="A20" i="5"/>
  <c r="B18" i="5"/>
  <c r="A18" i="5"/>
  <c r="B17" i="5"/>
  <c r="A17" i="5"/>
  <c r="B16" i="5"/>
  <c r="A16" i="5"/>
  <c r="B15" i="5"/>
  <c r="A15" i="5"/>
  <c r="B14" i="5"/>
  <c r="A14" i="5"/>
  <c r="B13" i="5"/>
  <c r="A13" i="5"/>
  <c r="B12" i="5"/>
  <c r="A12" i="5"/>
  <c r="B11" i="5"/>
  <c r="A11" i="5"/>
  <c r="B10" i="5"/>
  <c r="A10" i="5"/>
  <c r="B9" i="5"/>
  <c r="A9" i="5"/>
  <c r="B8" i="5"/>
  <c r="A8" i="5"/>
  <c r="B7" i="5"/>
  <c r="A7" i="5"/>
  <c r="B6" i="5"/>
  <c r="A6" i="5"/>
  <c r="B5" i="5"/>
  <c r="A5" i="5"/>
  <c r="A43" i="4"/>
  <c r="B42" i="4"/>
  <c r="A42" i="4"/>
  <c r="B41" i="4"/>
  <c r="A41" i="4"/>
  <c r="B40" i="4"/>
  <c r="A40" i="4"/>
  <c r="B39" i="4"/>
  <c r="A39" i="4"/>
  <c r="B38" i="4"/>
  <c r="A38" i="4"/>
  <c r="B37" i="4"/>
  <c r="A37" i="4"/>
  <c r="B36" i="4"/>
  <c r="A36" i="4"/>
  <c r="B35" i="4"/>
  <c r="A35" i="4"/>
  <c r="B34" i="4"/>
  <c r="A34" i="4"/>
  <c r="B33" i="4"/>
  <c r="A33" i="4"/>
  <c r="B32" i="4"/>
  <c r="A32" i="4"/>
  <c r="B31" i="4"/>
  <c r="A31" i="4"/>
  <c r="B30" i="4"/>
  <c r="A30" i="4"/>
  <c r="B29" i="4"/>
  <c r="A29" i="4"/>
  <c r="B28" i="4"/>
  <c r="A28" i="4"/>
  <c r="B26" i="4"/>
  <c r="A26" i="4"/>
  <c r="B25" i="4"/>
  <c r="A25" i="4"/>
  <c r="B24" i="4"/>
  <c r="A24" i="4"/>
  <c r="B23" i="4"/>
  <c r="A23" i="4"/>
  <c r="B22" i="4"/>
  <c r="A22" i="4"/>
  <c r="B21" i="4"/>
  <c r="A21" i="4"/>
  <c r="B20" i="4"/>
  <c r="A20" i="4"/>
  <c r="B18" i="4"/>
  <c r="A18" i="4"/>
  <c r="B17" i="4"/>
  <c r="A17" i="4"/>
  <c r="B16" i="4"/>
  <c r="A16" i="4"/>
  <c r="B15" i="4"/>
  <c r="A15" i="4"/>
  <c r="B14" i="4"/>
  <c r="A14" i="4"/>
  <c r="B13" i="4"/>
  <c r="A13" i="4"/>
  <c r="B12" i="4"/>
  <c r="A12" i="4"/>
  <c r="B11" i="4"/>
  <c r="A11" i="4"/>
  <c r="B10" i="4"/>
  <c r="A10" i="4"/>
  <c r="B9" i="4"/>
  <c r="A9" i="4"/>
  <c r="B8" i="4"/>
  <c r="A8" i="4"/>
  <c r="B7" i="4"/>
  <c r="A7" i="4"/>
  <c r="B6" i="4"/>
  <c r="A6" i="4"/>
  <c r="B5" i="4"/>
  <c r="A5" i="4"/>
  <c r="B50" i="3"/>
  <c r="B49" i="3"/>
  <c r="B48" i="3"/>
  <c r="A48" i="3"/>
  <c r="B45" i="3"/>
  <c r="A42" i="3"/>
  <c r="B40" i="3"/>
  <c r="E39" i="3"/>
  <c r="D39" i="3"/>
  <c r="B39" i="3"/>
  <c r="A37" i="3"/>
  <c r="B34" i="3"/>
  <c r="A29" i="3"/>
  <c r="A26" i="3"/>
  <c r="A15" i="3"/>
  <c r="B14" i="3"/>
  <c r="B13" i="3"/>
  <c r="B11" i="3"/>
  <c r="D3" i="3"/>
  <c r="B3" i="3"/>
  <c r="A3" i="3"/>
  <c r="F57" i="2"/>
  <c r="D45" i="3" s="1"/>
  <c r="F55" i="2"/>
  <c r="D44" i="3" s="1"/>
  <c r="G121" i="1"/>
  <c r="G122" i="1"/>
  <c r="G123" i="1"/>
  <c r="G126" i="1"/>
  <c r="G125" i="1" s="1"/>
  <c r="G129" i="1"/>
  <c r="G130" i="1"/>
  <c r="E133" i="1"/>
  <c r="E134" i="1"/>
  <c r="E135" i="1"/>
  <c r="E136" i="1"/>
  <c r="E137" i="1"/>
  <c r="E153" i="1"/>
  <c r="E154" i="1"/>
  <c r="E155" i="1"/>
  <c r="E156" i="1"/>
  <c r="E157" i="1"/>
  <c r="G118" i="1"/>
  <c r="G117" i="1" s="1"/>
  <c r="G258" i="1"/>
  <c r="G259" i="1"/>
  <c r="G260" i="1"/>
  <c r="G263" i="1"/>
  <c r="G262" i="1" s="1"/>
  <c r="G266" i="1"/>
  <c r="G267" i="1"/>
  <c r="E270" i="1"/>
  <c r="E271" i="1"/>
  <c r="E272" i="1"/>
  <c r="E273" i="1"/>
  <c r="E274" i="1"/>
  <c r="E282" i="1"/>
  <c r="E283" i="1"/>
  <c r="E284" i="1"/>
  <c r="E285" i="1"/>
  <c r="E286" i="1"/>
  <c r="G252" i="1"/>
  <c r="G251" i="1" s="1"/>
  <c r="G255" i="1"/>
  <c r="G254" i="1" s="1"/>
  <c r="G295" i="1"/>
  <c r="G296" i="1"/>
  <c r="G297" i="1"/>
  <c r="G298" i="1"/>
  <c r="G299" i="1"/>
  <c r="G300" i="1"/>
  <c r="G303" i="1"/>
  <c r="G304" i="1"/>
  <c r="G307" i="1"/>
  <c r="G308" i="1"/>
  <c r="G311" i="1"/>
  <c r="G312" i="1"/>
  <c r="G315" i="1"/>
  <c r="G316" i="1"/>
  <c r="G319" i="1"/>
  <c r="G318" i="1" s="1"/>
  <c r="G322" i="1"/>
  <c r="G321" i="1" s="1"/>
  <c r="G328" i="1"/>
  <c r="G329" i="1"/>
  <c r="G330" i="1"/>
  <c r="G331" i="1"/>
  <c r="G332" i="1"/>
  <c r="G333" i="1"/>
  <c r="G334" i="1"/>
  <c r="G337" i="1"/>
  <c r="G338" i="1"/>
  <c r="G339" i="1"/>
  <c r="G340" i="1"/>
  <c r="G341" i="1"/>
  <c r="G342" i="1"/>
  <c r="G345" i="1"/>
  <c r="G346" i="1"/>
  <c r="G347" i="1"/>
  <c r="G348" i="1"/>
  <c r="G349" i="1"/>
  <c r="G350" i="1"/>
  <c r="G353" i="1"/>
  <c r="G354" i="1"/>
  <c r="G355" i="1"/>
  <c r="G356" i="1"/>
  <c r="G360" i="1"/>
  <c r="G361" i="1"/>
  <c r="G362" i="1"/>
  <c r="G375" i="1"/>
  <c r="I50" i="2" s="1"/>
  <c r="G376" i="1"/>
  <c r="J50" i="2" s="1"/>
  <c r="G377" i="1"/>
  <c r="K50" i="2" s="1"/>
  <c r="G378" i="1"/>
  <c r="L50" i="2" s="1"/>
  <c r="G381" i="1"/>
  <c r="G382" i="1"/>
  <c r="J52" i="2" s="1"/>
  <c r="G385" i="1"/>
  <c r="H53" i="2" s="1"/>
  <c r="G386" i="1"/>
  <c r="I53" i="2" s="1"/>
  <c r="G390" i="1"/>
  <c r="G391" i="1"/>
  <c r="G392" i="1"/>
  <c r="G393" i="1"/>
  <c r="G396" i="1"/>
  <c r="G397" i="1"/>
  <c r="G398" i="1"/>
  <c r="G399" i="1"/>
  <c r="G402" i="1"/>
  <c r="G403" i="1"/>
  <c r="G404" i="1"/>
  <c r="G407" i="1"/>
  <c r="G408" i="1"/>
  <c r="K57" i="2" s="1"/>
  <c r="G409" i="1"/>
  <c r="N57" i="2" s="1"/>
  <c r="G412" i="1"/>
  <c r="G413" i="1"/>
  <c r="G416" i="1"/>
  <c r="G415" i="1" s="1"/>
  <c r="G419" i="1"/>
  <c r="H60" i="2" s="1"/>
  <c r="G420" i="1"/>
  <c r="I60" i="2" s="1"/>
  <c r="G421" i="1"/>
  <c r="J60" i="2" s="1"/>
  <c r="G422" i="1"/>
  <c r="K60" i="2" s="1"/>
  <c r="G423" i="1"/>
  <c r="L60" i="2" s="1"/>
  <c r="G424" i="1"/>
  <c r="M60" i="2" s="1"/>
  <c r="G425" i="1"/>
  <c r="N60" i="2" s="1"/>
  <c r="G428" i="1"/>
  <c r="H61" i="2" s="1"/>
  <c r="G429" i="1"/>
  <c r="I61" i="2" s="1"/>
  <c r="G430" i="1"/>
  <c r="J61" i="2" s="1"/>
  <c r="G431" i="1"/>
  <c r="K61" i="2" s="1"/>
  <c r="G432" i="1"/>
  <c r="L61" i="2" s="1"/>
  <c r="G435" i="1"/>
  <c r="H62" i="2" s="1"/>
  <c r="G436" i="1"/>
  <c r="I62" i="2" s="1"/>
  <c r="G437" i="1"/>
  <c r="J62" i="2" s="1"/>
  <c r="G438" i="1"/>
  <c r="K62" i="2" s="1"/>
  <c r="G439" i="1"/>
  <c r="L62" i="2" s="1"/>
  <c r="G440" i="1"/>
  <c r="M62" i="2" s="1"/>
  <c r="G441" i="1"/>
  <c r="N62" i="2" s="1"/>
  <c r="G444" i="1"/>
  <c r="I63" i="2" s="1"/>
  <c r="G445" i="1"/>
  <c r="J63" i="2" s="1"/>
  <c r="G517" i="1"/>
  <c r="G518" i="1"/>
  <c r="G519" i="1"/>
  <c r="G448" i="1"/>
  <c r="G449" i="1"/>
  <c r="G452" i="1"/>
  <c r="G453" i="1"/>
  <c r="G454" i="1"/>
  <c r="G457" i="1"/>
  <c r="G456" i="1" s="1"/>
  <c r="G478" i="1"/>
  <c r="G479" i="1"/>
  <c r="G480" i="1"/>
  <c r="G483" i="1"/>
  <c r="G484" i="1"/>
  <c r="G485" i="1"/>
  <c r="G486" i="1"/>
  <c r="G487" i="1"/>
  <c r="G488" i="1"/>
  <c r="G489" i="1"/>
  <c r="G490" i="1"/>
  <c r="G491" i="1"/>
  <c r="G494" i="1"/>
  <c r="G495" i="1"/>
  <c r="G496" i="1"/>
  <c r="G499" i="1"/>
  <c r="G498" i="1" s="1"/>
  <c r="G502" i="1"/>
  <c r="G503" i="1"/>
  <c r="G504" i="1"/>
  <c r="G505" i="1"/>
  <c r="G506" i="1"/>
  <c r="G507" i="1"/>
  <c r="G510" i="1"/>
  <c r="G511" i="1"/>
  <c r="G512" i="1"/>
  <c r="G513" i="1"/>
  <c r="G514" i="1"/>
  <c r="A291" i="1"/>
  <c r="F242" i="1"/>
  <c r="E241" i="1"/>
  <c r="E289" i="1"/>
  <c r="F77" i="1"/>
  <c r="G77" i="1" s="1"/>
  <c r="E148" i="1"/>
  <c r="G324" i="1" l="1"/>
  <c r="G115" i="1"/>
  <c r="J45" i="3"/>
  <c r="G35" i="6" s="1"/>
  <c r="L50" i="3"/>
  <c r="I49" i="3"/>
  <c r="F37" i="6" s="1"/>
  <c r="E40" i="5"/>
  <c r="J39" i="3"/>
  <c r="G29" i="6" s="1"/>
  <c r="H42" i="5"/>
  <c r="E41" i="5"/>
  <c r="I39" i="3"/>
  <c r="F29" i="6" s="1"/>
  <c r="J42" i="5"/>
  <c r="I48" i="3"/>
  <c r="F36" i="6" s="1"/>
  <c r="G42" i="5"/>
  <c r="G46" i="3"/>
  <c r="M48" i="3"/>
  <c r="J36" i="6" s="1"/>
  <c r="H42" i="3"/>
  <c r="E32" i="6" s="1"/>
  <c r="H51" i="3"/>
  <c r="G40" i="5"/>
  <c r="K39" i="3"/>
  <c r="H29" i="6" s="1"/>
  <c r="H50" i="3"/>
  <c r="I40" i="5"/>
  <c r="H41" i="5"/>
  <c r="G41" i="5"/>
  <c r="I51" i="3"/>
  <c r="G50" i="3"/>
  <c r="D38" i="6" s="1"/>
  <c r="H40" i="5"/>
  <c r="M45" i="3"/>
  <c r="J35" i="6" s="1"/>
  <c r="I41" i="3"/>
  <c r="F31" i="6" s="1"/>
  <c r="D24" i="7"/>
  <c r="E10" i="5"/>
  <c r="E9" i="6" s="1"/>
  <c r="G42" i="3"/>
  <c r="D32" i="6" s="1"/>
  <c r="G26" i="3"/>
  <c r="D21" i="5" s="1"/>
  <c r="D21" i="6" s="1"/>
  <c r="G3" i="3"/>
  <c r="C8" i="4"/>
  <c r="G48" i="3"/>
  <c r="D36" i="6" s="1"/>
  <c r="G10" i="5"/>
  <c r="G9" i="6" s="1"/>
  <c r="O10" i="2"/>
  <c r="G21" i="3"/>
  <c r="N21" i="3" s="1"/>
  <c r="O42" i="2"/>
  <c r="E14" i="5"/>
  <c r="E11" i="6" s="1"/>
  <c r="F14" i="5"/>
  <c r="F11" i="6" s="1"/>
  <c r="E43" i="6"/>
  <c r="J25" i="3"/>
  <c r="L25" i="3"/>
  <c r="I42" i="5"/>
  <c r="H48" i="3"/>
  <c r="E36" i="6" s="1"/>
  <c r="D15" i="6"/>
  <c r="I38" i="6"/>
  <c r="J28" i="6"/>
  <c r="E25" i="5"/>
  <c r="E24" i="6" s="1"/>
  <c r="G271" i="1"/>
  <c r="G493" i="1"/>
  <c r="F42" i="5"/>
  <c r="F41" i="5"/>
  <c r="E42" i="5"/>
  <c r="G154" i="1"/>
  <c r="G136" i="1"/>
  <c r="D40" i="5"/>
  <c r="J38" i="5"/>
  <c r="E34" i="5"/>
  <c r="G135" i="1"/>
  <c r="G482" i="1"/>
  <c r="O50" i="2"/>
  <c r="G302" i="1"/>
  <c r="E132" i="1"/>
  <c r="G530" i="1"/>
  <c r="H65" i="2"/>
  <c r="F32" i="5"/>
  <c r="O61" i="2"/>
  <c r="G336" i="1"/>
  <c r="E152" i="1"/>
  <c r="J50" i="3"/>
  <c r="G38" i="6" s="1"/>
  <c r="K49" i="3"/>
  <c r="H37" i="6" s="1"/>
  <c r="J48" i="3"/>
  <c r="G36" i="6" s="1"/>
  <c r="G501" i="1"/>
  <c r="G310" i="1"/>
  <c r="G157" i="1"/>
  <c r="G411" i="1"/>
  <c r="E281" i="1"/>
  <c r="G49" i="3"/>
  <c r="D37" i="6" s="1"/>
  <c r="G156" i="1"/>
  <c r="G30" i="5"/>
  <c r="G28" i="5" s="1"/>
  <c r="O53" i="2"/>
  <c r="G306" i="1"/>
  <c r="G128" i="1"/>
  <c r="G120" i="1"/>
  <c r="G522" i="1"/>
  <c r="L48" i="3"/>
  <c r="I36" i="6" s="1"/>
  <c r="H39" i="3"/>
  <c r="E29" i="6" s="1"/>
  <c r="O60" i="2"/>
  <c r="G406" i="1"/>
  <c r="H57" i="2"/>
  <c r="L55" i="2"/>
  <c r="K54" i="2"/>
  <c r="G294" i="1"/>
  <c r="E269" i="1"/>
  <c r="G526" i="1"/>
  <c r="G459" i="1"/>
  <c r="H67" i="2" s="1"/>
  <c r="M50" i="3"/>
  <c r="J38" i="6" s="1"/>
  <c r="I50" i="3"/>
  <c r="H49" i="3"/>
  <c r="E37" i="6" s="1"/>
  <c r="K48" i="3"/>
  <c r="H36" i="6" s="1"/>
  <c r="G153" i="1"/>
  <c r="J40" i="5"/>
  <c r="F40" i="5"/>
  <c r="H30" i="5"/>
  <c r="H28" i="5" s="1"/>
  <c r="G38" i="5"/>
  <c r="O63" i="2"/>
  <c r="I55" i="2"/>
  <c r="H54" i="2"/>
  <c r="G380" i="1"/>
  <c r="I52" i="2"/>
  <c r="G447" i="1"/>
  <c r="K55" i="2"/>
  <c r="J54" i="2"/>
  <c r="G344" i="1"/>
  <c r="G327" i="1"/>
  <c r="G273" i="1"/>
  <c r="G134" i="1"/>
  <c r="D42" i="5"/>
  <c r="D34" i="5"/>
  <c r="E30" i="5"/>
  <c r="O62" i="2"/>
  <c r="G509" i="1"/>
  <c r="G477" i="1"/>
  <c r="J55" i="2"/>
  <c r="I54" i="2"/>
  <c r="G314" i="1"/>
  <c r="G265" i="1"/>
  <c r="G257" i="1"/>
  <c r="K50" i="3"/>
  <c r="H38" i="6" s="1"/>
  <c r="J49" i="3"/>
  <c r="G37" i="6" s="1"/>
  <c r="G284" i="1"/>
  <c r="G274" i="1"/>
  <c r="G270" i="1"/>
  <c r="G155" i="1"/>
  <c r="G137" i="1"/>
  <c r="G133" i="1"/>
  <c r="D41" i="5"/>
  <c r="F30" i="5"/>
  <c r="F28" i="5" s="1"/>
  <c r="G535" i="1"/>
  <c r="G516" i="1"/>
  <c r="G142" i="1"/>
  <c r="G6" i="1"/>
  <c r="G197" i="1"/>
  <c r="G189" i="1"/>
  <c r="G114" i="1"/>
  <c r="G112" i="1"/>
  <c r="G110" i="1"/>
  <c r="G106" i="1"/>
  <c r="G102" i="1"/>
  <c r="F148" i="1"/>
  <c r="G279" i="1"/>
  <c r="G192" i="1"/>
  <c r="G190" i="1"/>
  <c r="G188" i="1"/>
  <c r="G111" i="1"/>
  <c r="G103" i="1"/>
  <c r="G95" i="1"/>
  <c r="G104" i="1"/>
  <c r="O58" i="2"/>
  <c r="G249" i="1"/>
  <c r="G248" i="1" s="1"/>
  <c r="G177" i="1"/>
  <c r="G145" i="1"/>
  <c r="G140" i="1"/>
  <c r="G30" i="1"/>
  <c r="G21" i="1"/>
  <c r="G19" i="1"/>
  <c r="G15" i="1"/>
  <c r="G13" i="1"/>
  <c r="G11" i="1"/>
  <c r="G33" i="3"/>
  <c r="N33" i="3" s="1"/>
  <c r="E38" i="5"/>
  <c r="F241" i="1"/>
  <c r="G286" i="1"/>
  <c r="G282" i="1"/>
  <c r="G182" i="1"/>
  <c r="G167" i="1"/>
  <c r="G88" i="1"/>
  <c r="G147" i="1"/>
  <c r="G31" i="1"/>
  <c r="G29" i="1"/>
  <c r="G25" i="1"/>
  <c r="G23" i="1"/>
  <c r="G14" i="1"/>
  <c r="F289" i="1"/>
  <c r="G283" i="1"/>
  <c r="G272" i="1"/>
  <c r="G245" i="1"/>
  <c r="G195" i="1"/>
  <c r="G187" i="1"/>
  <c r="G179" i="1"/>
  <c r="G171" i="1"/>
  <c r="G109" i="1"/>
  <c r="G101" i="1"/>
  <c r="G94" i="1"/>
  <c r="G90" i="1"/>
  <c r="G86" i="1"/>
  <c r="G84" i="1"/>
  <c r="G80" i="1"/>
  <c r="G28" i="1"/>
  <c r="G5" i="1"/>
  <c r="H46" i="3"/>
  <c r="E35" i="6" s="1"/>
  <c r="G246" i="1"/>
  <c r="G196" i="1"/>
  <c r="G185" i="1"/>
  <c r="G180" i="1"/>
  <c r="G174" i="1"/>
  <c r="G172" i="1"/>
  <c r="G169" i="1"/>
  <c r="G93" i="1"/>
  <c r="G91" i="1"/>
  <c r="G89" i="1"/>
  <c r="G87" i="1"/>
  <c r="G85" i="1"/>
  <c r="G16" i="1"/>
  <c r="G9" i="1"/>
  <c r="I35" i="6"/>
  <c r="G9" i="3"/>
  <c r="N9" i="3" s="1"/>
  <c r="H10" i="5"/>
  <c r="H9" i="6" s="1"/>
  <c r="N30" i="3"/>
  <c r="C7" i="4"/>
  <c r="C7" i="5"/>
  <c r="J20" i="5"/>
  <c r="N11" i="3"/>
  <c r="D14" i="5"/>
  <c r="D11" i="6" s="1"/>
  <c r="N12" i="3"/>
  <c r="C17" i="6"/>
  <c r="D21" i="7" s="1"/>
  <c r="B21" i="7" s="1"/>
  <c r="I28" i="5"/>
  <c r="I10" i="5"/>
  <c r="I9" i="6" s="1"/>
  <c r="O28" i="2"/>
  <c r="G20" i="5"/>
  <c r="N53" i="3"/>
  <c r="H35" i="6"/>
  <c r="F35" i="6"/>
  <c r="N13" i="3"/>
  <c r="G22" i="3"/>
  <c r="N22" i="3" s="1"/>
  <c r="E15" i="6"/>
  <c r="O31" i="2"/>
  <c r="G25" i="3"/>
  <c r="I6" i="3"/>
  <c r="N6" i="3" s="1"/>
  <c r="O6" i="2"/>
  <c r="C8" i="5"/>
  <c r="C7" i="6"/>
  <c r="C12" i="7" s="1"/>
  <c r="B12" i="7" s="1"/>
  <c r="N58" i="3"/>
  <c r="H20" i="5"/>
  <c r="G17" i="3"/>
  <c r="N17" i="3" s="1"/>
  <c r="O22" i="2"/>
  <c r="O39" i="2"/>
  <c r="G29" i="3"/>
  <c r="N29" i="3" s="1"/>
  <c r="G47" i="3"/>
  <c r="N47" i="3" s="1"/>
  <c r="O59" i="2"/>
  <c r="J15" i="6"/>
  <c r="J9" i="5"/>
  <c r="O25" i="2"/>
  <c r="H20" i="3"/>
  <c r="N20" i="3" s="1"/>
  <c r="N15" i="3"/>
  <c r="C8" i="6"/>
  <c r="C13" i="7" s="1"/>
  <c r="B13" i="7" s="1"/>
  <c r="N59" i="3"/>
  <c r="N10" i="3"/>
  <c r="F10" i="5"/>
  <c r="F9" i="6" s="1"/>
  <c r="I14" i="3"/>
  <c r="F43" i="6"/>
  <c r="K74" i="2"/>
  <c r="O3" i="2"/>
  <c r="H3" i="3"/>
  <c r="J22" i="6"/>
  <c r="N60" i="3"/>
  <c r="I25" i="3"/>
  <c r="D28" i="5"/>
  <c r="O44" i="2"/>
  <c r="N57" i="3"/>
  <c r="M25" i="3"/>
  <c r="E17" i="5"/>
  <c r="E13" i="6" s="1"/>
  <c r="H17" i="5"/>
  <c r="H13" i="6" s="1"/>
  <c r="H15" i="6"/>
  <c r="N32" i="3"/>
  <c r="N23" i="3"/>
  <c r="D10" i="5"/>
  <c r="D9" i="6" s="1"/>
  <c r="G14" i="3"/>
  <c r="O8" i="2"/>
  <c r="G8" i="3"/>
  <c r="N8" i="3" s="1"/>
  <c r="O46" i="2"/>
  <c r="G36" i="3"/>
  <c r="N36" i="3" s="1"/>
  <c r="O40" i="2"/>
  <c r="J10" i="5"/>
  <c r="J9" i="6" s="1"/>
  <c r="M14" i="3"/>
  <c r="I28" i="6"/>
  <c r="N37" i="3"/>
  <c r="O17" i="2"/>
  <c r="J28" i="5"/>
  <c r="H28" i="6"/>
  <c r="F28" i="6"/>
  <c r="D28" i="6"/>
  <c r="O16" i="2"/>
  <c r="O32" i="2"/>
  <c r="O38" i="2"/>
  <c r="C16" i="5"/>
  <c r="F15" i="6"/>
  <c r="F9" i="5"/>
  <c r="O14" i="2"/>
  <c r="I19" i="2"/>
  <c r="J19" i="2" s="1"/>
  <c r="K19" i="2" s="1"/>
  <c r="L19" i="2" s="1"/>
  <c r="M19" i="2" s="1"/>
  <c r="N19" i="2" s="1"/>
  <c r="O33" i="2"/>
  <c r="O29" i="2"/>
  <c r="D15" i="5"/>
  <c r="G24" i="3"/>
  <c r="N24" i="3" s="1"/>
  <c r="G19" i="3"/>
  <c r="N19" i="3" s="1"/>
  <c r="O24" i="2"/>
  <c r="G5" i="3"/>
  <c r="N5" i="3" s="1"/>
  <c r="O5" i="2"/>
  <c r="G31" i="3"/>
  <c r="O37" i="2"/>
  <c r="G27" i="3"/>
  <c r="G92" i="1"/>
  <c r="I20" i="5"/>
  <c r="I21" i="6"/>
  <c r="F21" i="6"/>
  <c r="F20" i="5"/>
  <c r="N34" i="3"/>
  <c r="I15" i="6"/>
  <c r="I9" i="5"/>
  <c r="G15" i="6"/>
  <c r="G9" i="5"/>
  <c r="H26" i="3"/>
  <c r="O36" i="2"/>
  <c r="G285" i="1"/>
  <c r="G168" i="1"/>
  <c r="G81" i="1"/>
  <c r="G12" i="1"/>
  <c r="H21" i="6"/>
  <c r="G21" i="6"/>
  <c r="D23" i="6"/>
  <c r="O30" i="2"/>
  <c r="O7" i="2"/>
  <c r="H18" i="3"/>
  <c r="N18" i="3" s="1"/>
  <c r="O23" i="2"/>
  <c r="O20" i="2"/>
  <c r="G178" i="1"/>
  <c r="J41" i="2"/>
  <c r="H14" i="3"/>
  <c r="O15" i="2"/>
  <c r="G277" i="1"/>
  <c r="G193" i="1"/>
  <c r="G191" i="1"/>
  <c r="G183" i="1"/>
  <c r="G181" i="1"/>
  <c r="G176" i="1"/>
  <c r="G113" i="1"/>
  <c r="G108" i="1"/>
  <c r="G97" i="1"/>
  <c r="G144" i="1"/>
  <c r="G32" i="1"/>
  <c r="G27" i="1"/>
  <c r="G20" i="1"/>
  <c r="G17" i="1"/>
  <c r="G8" i="1"/>
  <c r="H28" i="3"/>
  <c r="O27" i="2"/>
  <c r="I45" i="2"/>
  <c r="G194" i="1"/>
  <c r="G184" i="1"/>
  <c r="G175" i="1"/>
  <c r="G173" i="1"/>
  <c r="G107" i="1"/>
  <c r="G105" i="1"/>
  <c r="G100" i="1"/>
  <c r="G96" i="1"/>
  <c r="G143" i="1"/>
  <c r="G141" i="1"/>
  <c r="G26" i="1"/>
  <c r="G24" i="1"/>
  <c r="G18" i="1"/>
  <c r="G7" i="1"/>
  <c r="G7" i="3"/>
  <c r="N7" i="3" s="1"/>
  <c r="D17" i="5"/>
  <c r="F37" i="5"/>
  <c r="F40" i="6"/>
  <c r="F39" i="6" s="1"/>
  <c r="E40" i="6"/>
  <c r="E39" i="6" s="1"/>
  <c r="E37" i="5"/>
  <c r="G28" i="6"/>
  <c r="N38" i="3"/>
  <c r="C29" i="4"/>
  <c r="C29" i="5"/>
  <c r="E28" i="6"/>
  <c r="G443" i="1"/>
  <c r="G434" i="1"/>
  <c r="G427" i="1"/>
  <c r="G418" i="1"/>
  <c r="F473" i="1"/>
  <c r="G467" i="1"/>
  <c r="H68" i="2" s="1"/>
  <c r="G474" i="1"/>
  <c r="F474" i="1" s="1"/>
  <c r="G389" i="1"/>
  <c r="O43" i="2"/>
  <c r="H47" i="2"/>
  <c r="G401" i="1"/>
  <c r="G395" i="1"/>
  <c r="G384" i="1"/>
  <c r="G374" i="1"/>
  <c r="G352" i="1"/>
  <c r="F231" i="1" l="1"/>
  <c r="G231" i="1" s="1"/>
  <c r="F235" i="1"/>
  <c r="G235" i="1" s="1"/>
  <c r="F214" i="1"/>
  <c r="G214" i="1" s="1"/>
  <c r="F218" i="1"/>
  <c r="G218" i="1" s="1"/>
  <c r="F222" i="1"/>
  <c r="G222" i="1" s="1"/>
  <c r="F210" i="1"/>
  <c r="G210" i="1" s="1"/>
  <c r="F207" i="1"/>
  <c r="G207" i="1" s="1"/>
  <c r="F228" i="1"/>
  <c r="G228" i="1" s="1"/>
  <c r="F225" i="1"/>
  <c r="G225" i="1" s="1"/>
  <c r="F232" i="1"/>
  <c r="G232" i="1" s="1"/>
  <c r="F236" i="1"/>
  <c r="G236" i="1" s="1"/>
  <c r="F211" i="1"/>
  <c r="G211" i="1" s="1"/>
  <c r="F215" i="1"/>
  <c r="G215" i="1" s="1"/>
  <c r="F219" i="1"/>
  <c r="G219" i="1" s="1"/>
  <c r="F223" i="1"/>
  <c r="G223" i="1" s="1"/>
  <c r="F204" i="1"/>
  <c r="G204" i="1" s="1"/>
  <c r="F203" i="1"/>
  <c r="G203" i="1" s="1"/>
  <c r="F234" i="1"/>
  <c r="G234" i="1" s="1"/>
  <c r="F213" i="1"/>
  <c r="G213" i="1" s="1"/>
  <c r="F217" i="1"/>
  <c r="G217" i="1" s="1"/>
  <c r="F206" i="1"/>
  <c r="G206" i="1" s="1"/>
  <c r="F229" i="1"/>
  <c r="G229" i="1" s="1"/>
  <c r="F233" i="1"/>
  <c r="G233" i="1" s="1"/>
  <c r="F237" i="1"/>
  <c r="G237" i="1" s="1"/>
  <c r="F212" i="1"/>
  <c r="G212" i="1" s="1"/>
  <c r="F216" i="1"/>
  <c r="G216" i="1" s="1"/>
  <c r="F220" i="1"/>
  <c r="G220" i="1" s="1"/>
  <c r="F224" i="1"/>
  <c r="G224" i="1" s="1"/>
  <c r="F205" i="1"/>
  <c r="G205" i="1" s="1"/>
  <c r="F230" i="1"/>
  <c r="G230" i="1" s="1"/>
  <c r="F221" i="1"/>
  <c r="G221" i="1" s="1"/>
  <c r="F63" i="1"/>
  <c r="G63" i="1" s="1"/>
  <c r="F67" i="1"/>
  <c r="G67" i="1" s="1"/>
  <c r="F44" i="1"/>
  <c r="G44" i="1" s="1"/>
  <c r="F48" i="1"/>
  <c r="G48" i="1" s="1"/>
  <c r="F52" i="1"/>
  <c r="G52" i="1" s="1"/>
  <c r="F56" i="1"/>
  <c r="G56" i="1" s="1"/>
  <c r="F59" i="1"/>
  <c r="F38" i="1"/>
  <c r="G38" i="1" s="1"/>
  <c r="F66" i="1"/>
  <c r="G66" i="1" s="1"/>
  <c r="F51" i="1"/>
  <c r="G51" i="1" s="1"/>
  <c r="F39" i="1"/>
  <c r="G39" i="1" s="1"/>
  <c r="F64" i="1"/>
  <c r="G64" i="1" s="1"/>
  <c r="F68" i="1"/>
  <c r="G68" i="1" s="1"/>
  <c r="F45" i="1"/>
  <c r="G45" i="1" s="1"/>
  <c r="F49" i="1"/>
  <c r="G49" i="1" s="1"/>
  <c r="F53" i="1"/>
  <c r="G53" i="1" s="1"/>
  <c r="F57" i="1"/>
  <c r="G57" i="1" s="1"/>
  <c r="F41" i="1"/>
  <c r="F37" i="1"/>
  <c r="G37" i="1" s="1"/>
  <c r="F61" i="1"/>
  <c r="G61" i="1" s="1"/>
  <c r="F55" i="1"/>
  <c r="G55" i="1" s="1"/>
  <c r="F70" i="1"/>
  <c r="G70" i="1" s="1"/>
  <c r="F65" i="1"/>
  <c r="G65" i="1" s="1"/>
  <c r="F69" i="1"/>
  <c r="G69" i="1" s="1"/>
  <c r="F46" i="1"/>
  <c r="G46" i="1" s="1"/>
  <c r="F50" i="1"/>
  <c r="G50" i="1" s="1"/>
  <c r="F54" i="1"/>
  <c r="G54" i="1" s="1"/>
  <c r="F58" i="1"/>
  <c r="G58" i="1" s="1"/>
  <c r="F40" i="1"/>
  <c r="G40" i="1" s="1"/>
  <c r="F36" i="1"/>
  <c r="G36" i="1" s="1"/>
  <c r="F62" i="1"/>
  <c r="G62" i="1" s="1"/>
  <c r="F47" i="1"/>
  <c r="G47" i="1" s="1"/>
  <c r="F43" i="1"/>
  <c r="G43" i="1" s="1"/>
  <c r="G521" i="1"/>
  <c r="E38" i="6"/>
  <c r="N51" i="3"/>
  <c r="J39" i="5"/>
  <c r="H39" i="5"/>
  <c r="I39" i="5"/>
  <c r="E39" i="5"/>
  <c r="G39" i="5"/>
  <c r="I67" i="2"/>
  <c r="J67" i="2" s="1"/>
  <c r="C32" i="6"/>
  <c r="C39" i="7" s="1"/>
  <c r="B39" i="7" s="1"/>
  <c r="N42" i="3"/>
  <c r="I65" i="2"/>
  <c r="C22" i="4"/>
  <c r="C27" i="7" s="1"/>
  <c r="B27" i="7" s="1"/>
  <c r="C34" i="4"/>
  <c r="C10" i="4"/>
  <c r="C21" i="4"/>
  <c r="C26" i="7" s="1"/>
  <c r="C9" i="4"/>
  <c r="C40" i="4"/>
  <c r="C30" i="4"/>
  <c r="G52" i="3"/>
  <c r="C11" i="6"/>
  <c r="C19" i="7" s="1"/>
  <c r="B19" i="7" s="1"/>
  <c r="C17" i="4"/>
  <c r="C41" i="4"/>
  <c r="C15" i="4"/>
  <c r="C16" i="4"/>
  <c r="C23" i="4"/>
  <c r="C28" i="7" s="1"/>
  <c r="B28" i="7" s="1"/>
  <c r="N3" i="3"/>
  <c r="N39" i="3"/>
  <c r="C34" i="5"/>
  <c r="F39" i="5"/>
  <c r="C37" i="6"/>
  <c r="C46" i="7" s="1"/>
  <c r="B46" i="7" s="1"/>
  <c r="C41" i="5"/>
  <c r="C42" i="4"/>
  <c r="C29" i="6"/>
  <c r="C35" i="7" s="1"/>
  <c r="B35" i="7" s="1"/>
  <c r="D39" i="5"/>
  <c r="I64" i="2"/>
  <c r="I80" i="2" s="1"/>
  <c r="N50" i="3"/>
  <c r="J27" i="6"/>
  <c r="F38" i="6"/>
  <c r="G132" i="1"/>
  <c r="H64" i="2"/>
  <c r="C36" i="6"/>
  <c r="C45" i="7" s="1"/>
  <c r="C40" i="5"/>
  <c r="G152" i="1"/>
  <c r="N49" i="3"/>
  <c r="G54" i="3"/>
  <c r="O52" i="2"/>
  <c r="E32" i="5"/>
  <c r="C32" i="5" s="1"/>
  <c r="H41" i="3"/>
  <c r="G45" i="3"/>
  <c r="N45" i="3" s="1"/>
  <c r="O57" i="2"/>
  <c r="N48" i="3"/>
  <c r="C42" i="5"/>
  <c r="C30" i="5"/>
  <c r="G269" i="1"/>
  <c r="E35" i="5"/>
  <c r="H43" i="3"/>
  <c r="E33" i="6" s="1"/>
  <c r="I43" i="3"/>
  <c r="F33" i="6" s="1"/>
  <c r="F35" i="5"/>
  <c r="F36" i="5"/>
  <c r="I44" i="3"/>
  <c r="F34" i="6" s="1"/>
  <c r="G36" i="5"/>
  <c r="J44" i="3"/>
  <c r="G34" i="6" s="1"/>
  <c r="O54" i="2"/>
  <c r="G43" i="3"/>
  <c r="D35" i="5"/>
  <c r="G35" i="5"/>
  <c r="J43" i="3"/>
  <c r="G33" i="6" s="1"/>
  <c r="J64" i="2"/>
  <c r="D38" i="5"/>
  <c r="C38" i="5" s="1"/>
  <c r="H44" i="3"/>
  <c r="O55" i="2"/>
  <c r="E36" i="5"/>
  <c r="K44" i="3"/>
  <c r="H34" i="6" s="1"/>
  <c r="H27" i="6" s="1"/>
  <c r="H36" i="5"/>
  <c r="G276" i="1"/>
  <c r="N46" i="3"/>
  <c r="G99" i="1"/>
  <c r="G83" i="1"/>
  <c r="G166" i="1"/>
  <c r="D25" i="5"/>
  <c r="D24" i="6" s="1"/>
  <c r="G186" i="1"/>
  <c r="G281" i="1"/>
  <c r="G22" i="1"/>
  <c r="G170" i="1"/>
  <c r="C14" i="4"/>
  <c r="G10" i="1"/>
  <c r="G4" i="1"/>
  <c r="G139" i="1"/>
  <c r="G79" i="1"/>
  <c r="H18" i="2"/>
  <c r="F160" i="1" s="1"/>
  <c r="G160" i="1" s="1"/>
  <c r="G159" i="1" s="1"/>
  <c r="G244" i="1"/>
  <c r="I27" i="6"/>
  <c r="N25" i="3"/>
  <c r="C14" i="5"/>
  <c r="D26" i="5"/>
  <c r="D25" i="6" s="1"/>
  <c r="C9" i="6"/>
  <c r="C15" i="7" s="1"/>
  <c r="B15" i="7" s="1"/>
  <c r="C10" i="5"/>
  <c r="L74" i="2"/>
  <c r="G43" i="6"/>
  <c r="N14" i="3"/>
  <c r="H35" i="3"/>
  <c r="J45" i="2"/>
  <c r="H34" i="2"/>
  <c r="F208" i="1"/>
  <c r="G208" i="1" s="1"/>
  <c r="H21" i="2"/>
  <c r="F238" i="1"/>
  <c r="G238" i="1" s="1"/>
  <c r="F226" i="1"/>
  <c r="G226" i="1" s="1"/>
  <c r="F71" i="1"/>
  <c r="G71" i="1" s="1"/>
  <c r="G59" i="1"/>
  <c r="H4" i="2"/>
  <c r="D22" i="5"/>
  <c r="N27" i="3"/>
  <c r="C9" i="5"/>
  <c r="E23" i="5"/>
  <c r="N28" i="3"/>
  <c r="I47" i="2"/>
  <c r="C17" i="5"/>
  <c r="D13" i="6"/>
  <c r="C13" i="6" s="1"/>
  <c r="C22" i="7" s="1"/>
  <c r="B22" i="7" s="1"/>
  <c r="K41" i="2"/>
  <c r="I31" i="3"/>
  <c r="F25" i="5" s="1"/>
  <c r="N26" i="3"/>
  <c r="E21" i="5"/>
  <c r="G41" i="1"/>
  <c r="C15" i="5"/>
  <c r="D12" i="6"/>
  <c r="C12" i="6" s="1"/>
  <c r="C20" i="7" s="1"/>
  <c r="B20" i="7" s="1"/>
  <c r="O19" i="2"/>
  <c r="C15" i="6"/>
  <c r="D14" i="7" s="1"/>
  <c r="B14" i="7" s="1"/>
  <c r="G40" i="6"/>
  <c r="G37" i="5"/>
  <c r="K64" i="2"/>
  <c r="C28" i="6"/>
  <c r="C34" i="7" s="1"/>
  <c r="G472" i="1"/>
  <c r="O69" i="2" s="1"/>
  <c r="G55" i="3"/>
  <c r="O68" i="2"/>
  <c r="G201" i="1" l="1"/>
  <c r="G34" i="1"/>
  <c r="H52" i="3"/>
  <c r="I54" i="3"/>
  <c r="H54" i="3"/>
  <c r="J65" i="2"/>
  <c r="H81" i="2"/>
  <c r="D46" i="6" s="1"/>
  <c r="J81" i="2"/>
  <c r="I81" i="2"/>
  <c r="C39" i="4"/>
  <c r="D39" i="4" s="1"/>
  <c r="C38" i="4"/>
  <c r="H69" i="2"/>
  <c r="C20" i="4"/>
  <c r="D20" i="4" s="1"/>
  <c r="C36" i="4"/>
  <c r="C35" i="4"/>
  <c r="C32" i="4"/>
  <c r="C28" i="4" s="1"/>
  <c r="D28" i="4" s="1"/>
  <c r="D11" i="5"/>
  <c r="D16" i="6" s="1"/>
  <c r="I18" i="2"/>
  <c r="E11" i="5" s="1"/>
  <c r="E16" i="6" s="1"/>
  <c r="F547" i="1"/>
  <c r="G547" i="1" s="1"/>
  <c r="E45" i="6"/>
  <c r="H64" i="3"/>
  <c r="J80" i="2"/>
  <c r="C39" i="5"/>
  <c r="F27" i="6"/>
  <c r="F26" i="6" s="1"/>
  <c r="C38" i="6"/>
  <c r="C47" i="7" s="1"/>
  <c r="B47" i="7" s="1"/>
  <c r="H80" i="2"/>
  <c r="E33" i="5"/>
  <c r="G27" i="6"/>
  <c r="F33" i="5"/>
  <c r="F27" i="5" s="1"/>
  <c r="B45" i="7"/>
  <c r="G33" i="5"/>
  <c r="G27" i="5" s="1"/>
  <c r="C35" i="5"/>
  <c r="D33" i="5"/>
  <c r="D27" i="5" s="1"/>
  <c r="C36" i="5"/>
  <c r="D33" i="6"/>
  <c r="C33" i="6" s="1"/>
  <c r="C40" i="7" s="1"/>
  <c r="B40" i="7" s="1"/>
  <c r="N43" i="3"/>
  <c r="D35" i="6"/>
  <c r="C35" i="6" s="1"/>
  <c r="C43" i="7" s="1"/>
  <c r="B43" i="7" s="1"/>
  <c r="E34" i="6"/>
  <c r="C34" i="6" s="1"/>
  <c r="C41" i="7" s="1"/>
  <c r="B41" i="7" s="1"/>
  <c r="N44" i="3"/>
  <c r="E31" i="6"/>
  <c r="N41" i="3"/>
  <c r="E28" i="5"/>
  <c r="K67" i="2"/>
  <c r="G3" i="1"/>
  <c r="K80" i="2"/>
  <c r="K81" i="2"/>
  <c r="G165" i="1"/>
  <c r="D24" i="5"/>
  <c r="M74" i="2"/>
  <c r="H43" i="6"/>
  <c r="E21" i="6"/>
  <c r="E20" i="5"/>
  <c r="C21" i="5"/>
  <c r="C22" i="5"/>
  <c r="D22" i="6"/>
  <c r="C22" i="6" s="1"/>
  <c r="D20" i="5"/>
  <c r="C25" i="7"/>
  <c r="B25" i="7" s="1"/>
  <c r="B26" i="7"/>
  <c r="E26" i="5"/>
  <c r="E23" i="6"/>
  <c r="C23" i="6" s="1"/>
  <c r="C23" i="5"/>
  <c r="I21" i="2"/>
  <c r="G16" i="3"/>
  <c r="D13" i="5"/>
  <c r="L41" i="2"/>
  <c r="J31" i="3"/>
  <c r="G25" i="5" s="1"/>
  <c r="I34" i="2"/>
  <c r="F292" i="1"/>
  <c r="G292" i="1" s="1"/>
  <c r="G291" i="1" s="1"/>
  <c r="D18" i="5"/>
  <c r="D18" i="6" s="1"/>
  <c r="K45" i="2"/>
  <c r="K47" i="2" s="1"/>
  <c r="I35" i="3"/>
  <c r="F26" i="5" s="1"/>
  <c r="F25" i="6" s="1"/>
  <c r="J47" i="2"/>
  <c r="F24" i="6"/>
  <c r="D6" i="5"/>
  <c r="I4" i="2"/>
  <c r="G4" i="3"/>
  <c r="H35" i="2"/>
  <c r="G39" i="6"/>
  <c r="H40" i="6"/>
  <c r="H39" i="6" s="1"/>
  <c r="H26" i="6" s="1"/>
  <c r="H37" i="5"/>
  <c r="H33" i="5" s="1"/>
  <c r="H27" i="5" s="1"/>
  <c r="L64" i="2"/>
  <c r="B34" i="7"/>
  <c r="N55" i="3"/>
  <c r="J18" i="2" l="1"/>
  <c r="F555" i="1"/>
  <c r="G555" i="1" s="1"/>
  <c r="J54" i="3"/>
  <c r="I69" i="2"/>
  <c r="H56" i="3" s="1"/>
  <c r="I82" i="2"/>
  <c r="F46" i="6"/>
  <c r="E46" i="6"/>
  <c r="E44" i="6" s="1"/>
  <c r="F556" i="1"/>
  <c r="G556" i="1" s="1"/>
  <c r="E44" i="5"/>
  <c r="H82" i="2"/>
  <c r="D42" i="6"/>
  <c r="D41" i="6" s="1"/>
  <c r="J82" i="2"/>
  <c r="I52" i="3"/>
  <c r="K65" i="2"/>
  <c r="K82" i="2"/>
  <c r="F557" i="1"/>
  <c r="G557" i="1" s="1"/>
  <c r="D14" i="6"/>
  <c r="D51" i="6" s="1"/>
  <c r="H76" i="2"/>
  <c r="G56" i="3"/>
  <c r="D20" i="6"/>
  <c r="D19" i="6" s="1"/>
  <c r="F546" i="1"/>
  <c r="G546" i="1" s="1"/>
  <c r="D44" i="5"/>
  <c r="D45" i="6"/>
  <c r="G64" i="3"/>
  <c r="F549" i="1"/>
  <c r="G549" i="1" s="1"/>
  <c r="G44" i="5"/>
  <c r="J64" i="3"/>
  <c r="G45" i="6"/>
  <c r="F558" i="1"/>
  <c r="G558" i="1" s="1"/>
  <c r="G46" i="6"/>
  <c r="F548" i="1"/>
  <c r="G548" i="1" s="1"/>
  <c r="F45" i="6"/>
  <c r="I64" i="3"/>
  <c r="F44" i="5"/>
  <c r="C44" i="7"/>
  <c r="B44" i="7" s="1"/>
  <c r="H84" i="2"/>
  <c r="D27" i="6"/>
  <c r="D26" i="6" s="1"/>
  <c r="L67" i="2"/>
  <c r="C28" i="5"/>
  <c r="E27" i="5"/>
  <c r="C38" i="7"/>
  <c r="C31" i="6"/>
  <c r="C37" i="7" s="1"/>
  <c r="E27" i="6"/>
  <c r="E26" i="6" s="1"/>
  <c r="L80" i="2"/>
  <c r="L81" i="2"/>
  <c r="C20" i="5"/>
  <c r="N74" i="2"/>
  <c r="J43" i="6" s="1"/>
  <c r="I43" i="6"/>
  <c r="D6" i="6"/>
  <c r="D5" i="5"/>
  <c r="F24" i="5"/>
  <c r="F19" i="5" s="1"/>
  <c r="L45" i="2"/>
  <c r="L47" i="2" s="1"/>
  <c r="J35" i="3"/>
  <c r="G26" i="5" s="1"/>
  <c r="G25" i="6" s="1"/>
  <c r="I35" i="2"/>
  <c r="J4" i="2"/>
  <c r="E6" i="5"/>
  <c r="H4" i="3"/>
  <c r="E25" i="6"/>
  <c r="E20" i="6" s="1"/>
  <c r="E19" i="6" s="1"/>
  <c r="E24" i="5"/>
  <c r="E19" i="5" s="1"/>
  <c r="E18" i="5"/>
  <c r="E18" i="6" s="1"/>
  <c r="E14" i="6" s="1"/>
  <c r="J34" i="2"/>
  <c r="K31" i="3"/>
  <c r="M41" i="2"/>
  <c r="E13" i="5"/>
  <c r="H16" i="3"/>
  <c r="J21" i="2"/>
  <c r="D19" i="5"/>
  <c r="F20" i="6"/>
  <c r="F19" i="6" s="1"/>
  <c r="G24" i="6"/>
  <c r="D10" i="6"/>
  <c r="D12" i="5"/>
  <c r="F11" i="5"/>
  <c r="F16" i="6" s="1"/>
  <c r="K18" i="2"/>
  <c r="C21" i="6"/>
  <c r="I37" i="5"/>
  <c r="I33" i="5" s="1"/>
  <c r="I40" i="6"/>
  <c r="I39" i="6" s="1"/>
  <c r="I26" i="6" s="1"/>
  <c r="M64" i="2"/>
  <c r="G26" i="6"/>
  <c r="J69" i="2" l="1"/>
  <c r="J84" i="2" s="1"/>
  <c r="I76" i="2"/>
  <c r="E43" i="5" s="1"/>
  <c r="I84" i="2"/>
  <c r="E42" i="6"/>
  <c r="E41" i="6" s="1"/>
  <c r="E51" i="6"/>
  <c r="F44" i="6"/>
  <c r="H83" i="2"/>
  <c r="H85" i="2" s="1"/>
  <c r="K54" i="3"/>
  <c r="D43" i="5"/>
  <c r="L65" i="2"/>
  <c r="J52" i="3"/>
  <c r="L82" i="2"/>
  <c r="O74" i="2"/>
  <c r="G44" i="6"/>
  <c r="H65" i="3"/>
  <c r="F559" i="1"/>
  <c r="G559" i="1" s="1"/>
  <c r="H46" i="6"/>
  <c r="G65" i="3"/>
  <c r="D44" i="6"/>
  <c r="F550" i="1"/>
  <c r="G550" i="1" s="1"/>
  <c r="H44" i="5"/>
  <c r="H45" i="6"/>
  <c r="K64" i="3"/>
  <c r="C43" i="6"/>
  <c r="D48" i="7" s="1"/>
  <c r="M67" i="2"/>
  <c r="C27" i="6"/>
  <c r="B37" i="7"/>
  <c r="C33" i="7"/>
  <c r="M80" i="2"/>
  <c r="M81" i="2"/>
  <c r="G24" i="5"/>
  <c r="G19" i="5" s="1"/>
  <c r="D4" i="5"/>
  <c r="D3" i="5" s="1"/>
  <c r="L18" i="2"/>
  <c r="G11" i="5"/>
  <c r="G16" i="6" s="1"/>
  <c r="E12" i="5"/>
  <c r="E10" i="6"/>
  <c r="N41" i="2"/>
  <c r="L31" i="3"/>
  <c r="I25" i="5" s="1"/>
  <c r="E6" i="6"/>
  <c r="E5" i="5"/>
  <c r="D5" i="6"/>
  <c r="D50" i="6" s="1"/>
  <c r="K34" i="2"/>
  <c r="F18" i="5"/>
  <c r="F18" i="6" s="1"/>
  <c r="F14" i="6" s="1"/>
  <c r="F51" i="6" s="1"/>
  <c r="G20" i="6"/>
  <c r="G19" i="6" s="1"/>
  <c r="K21" i="2"/>
  <c r="F13" i="5"/>
  <c r="I16" i="3"/>
  <c r="H25" i="5"/>
  <c r="K4" i="2"/>
  <c r="F6" i="5"/>
  <c r="J35" i="2"/>
  <c r="I4" i="3"/>
  <c r="K35" i="3"/>
  <c r="M45" i="2"/>
  <c r="I27" i="5"/>
  <c r="N64" i="2"/>
  <c r="J40" i="6"/>
  <c r="J39" i="6" s="1"/>
  <c r="J37" i="5"/>
  <c r="O56" i="2"/>
  <c r="F42" i="6"/>
  <c r="I56" i="3"/>
  <c r="K69" i="2"/>
  <c r="J76" i="2" l="1"/>
  <c r="J83" i="2" s="1"/>
  <c r="I83" i="2"/>
  <c r="I85" i="2" s="1"/>
  <c r="L54" i="3"/>
  <c r="K52" i="3"/>
  <c r="M65" i="2"/>
  <c r="M82" i="2"/>
  <c r="E4" i="5"/>
  <c r="E3" i="5" s="1"/>
  <c r="H44" i="6"/>
  <c r="K84" i="2"/>
  <c r="F560" i="1"/>
  <c r="G560" i="1" s="1"/>
  <c r="I46" i="6"/>
  <c r="F551" i="1"/>
  <c r="G551" i="1" s="1"/>
  <c r="I45" i="6"/>
  <c r="I44" i="5"/>
  <c r="L64" i="3"/>
  <c r="I65" i="3"/>
  <c r="N67" i="2"/>
  <c r="B33" i="7"/>
  <c r="C32" i="7"/>
  <c r="N81" i="2"/>
  <c r="N80" i="2"/>
  <c r="E5" i="6"/>
  <c r="J16" i="3"/>
  <c r="L21" i="2"/>
  <c r="G13" i="5"/>
  <c r="L34" i="2"/>
  <c r="G18" i="5"/>
  <c r="G18" i="6" s="1"/>
  <c r="G14" i="6" s="1"/>
  <c r="G51" i="6" s="1"/>
  <c r="M31" i="3"/>
  <c r="F5" i="5"/>
  <c r="F6" i="6"/>
  <c r="H26" i="5"/>
  <c r="H24" i="5" s="1"/>
  <c r="J4" i="3"/>
  <c r="K35" i="2"/>
  <c r="L4" i="2"/>
  <c r="G6" i="5"/>
  <c r="D4" i="6"/>
  <c r="D3" i="6" s="1"/>
  <c r="D49" i="6"/>
  <c r="I24" i="6"/>
  <c r="H11" i="5"/>
  <c r="H16" i="6" s="1"/>
  <c r="M18" i="2"/>
  <c r="N45" i="2"/>
  <c r="L35" i="3"/>
  <c r="I26" i="5" s="1"/>
  <c r="I25" i="6" s="1"/>
  <c r="H24" i="6"/>
  <c r="O41" i="2"/>
  <c r="F12" i="5"/>
  <c r="F10" i="6"/>
  <c r="M47" i="2"/>
  <c r="C40" i="6"/>
  <c r="D42" i="7" s="1"/>
  <c r="D38" i="7" s="1"/>
  <c r="C37" i="4"/>
  <c r="C33" i="4" s="1"/>
  <c r="O64" i="2"/>
  <c r="J33" i="5"/>
  <c r="C37" i="5"/>
  <c r="J26" i="6"/>
  <c r="C26" i="6" s="1"/>
  <c r="C39" i="6"/>
  <c r="G42" i="6"/>
  <c r="K76" i="2"/>
  <c r="J56" i="3"/>
  <c r="L69" i="2"/>
  <c r="F41" i="6"/>
  <c r="F43" i="5" l="1"/>
  <c r="J46" i="6"/>
  <c r="C46" i="6" s="1"/>
  <c r="D49" i="7" s="1"/>
  <c r="J85" i="2"/>
  <c r="N82" i="2"/>
  <c r="M54" i="3"/>
  <c r="N54" i="3" s="1"/>
  <c r="N65" i="2"/>
  <c r="L52" i="3"/>
  <c r="C27" i="4"/>
  <c r="D27" i="4" s="1"/>
  <c r="D33" i="4"/>
  <c r="O67" i="2"/>
  <c r="N47" i="2"/>
  <c r="O47" i="2" s="1"/>
  <c r="L84" i="2"/>
  <c r="C25" i="4"/>
  <c r="C30" i="7" s="1"/>
  <c r="I44" i="6"/>
  <c r="E4" i="6"/>
  <c r="E3" i="6" s="1"/>
  <c r="E50" i="6"/>
  <c r="E49" i="6" s="1"/>
  <c r="K83" i="2"/>
  <c r="G43" i="5"/>
  <c r="J45" i="6"/>
  <c r="C45" i="6" s="1"/>
  <c r="C49" i="7" s="1"/>
  <c r="M64" i="3"/>
  <c r="N64" i="3" s="1"/>
  <c r="J44" i="5"/>
  <c r="J65" i="3"/>
  <c r="O80" i="2"/>
  <c r="F552" i="1"/>
  <c r="G552" i="1" s="1"/>
  <c r="G545" i="1" s="1"/>
  <c r="O81" i="2"/>
  <c r="F561" i="1"/>
  <c r="G561" i="1" s="1"/>
  <c r="G554" i="1" s="1"/>
  <c r="I24" i="5"/>
  <c r="I19" i="5" s="1"/>
  <c r="I20" i="6"/>
  <c r="I19" i="6" s="1"/>
  <c r="I11" i="5"/>
  <c r="I16" i="6" s="1"/>
  <c r="N18" i="2"/>
  <c r="F5" i="6"/>
  <c r="F50" i="6" s="1"/>
  <c r="G6" i="6"/>
  <c r="G5" i="5"/>
  <c r="J25" i="5"/>
  <c r="N31" i="3"/>
  <c r="G12" i="5"/>
  <c r="G10" i="6"/>
  <c r="H19" i="5"/>
  <c r="M4" i="2"/>
  <c r="K4" i="3"/>
  <c r="L35" i="2"/>
  <c r="H6" i="5"/>
  <c r="H25" i="6"/>
  <c r="H20" i="6" s="1"/>
  <c r="M21" i="2"/>
  <c r="K16" i="3"/>
  <c r="H13" i="5"/>
  <c r="M35" i="3"/>
  <c r="O45" i="2"/>
  <c r="F4" i="5"/>
  <c r="F3" i="5" s="1"/>
  <c r="M34" i="2"/>
  <c r="H18" i="5"/>
  <c r="B42" i="7"/>
  <c r="J27" i="5"/>
  <c r="C27" i="5" s="1"/>
  <c r="C33" i="5"/>
  <c r="D32" i="7"/>
  <c r="B32" i="7" s="1"/>
  <c r="B38" i="7"/>
  <c r="H42" i="6"/>
  <c r="H41" i="6" s="1"/>
  <c r="M69" i="2"/>
  <c r="L76" i="2"/>
  <c r="K56" i="3"/>
  <c r="G41" i="6"/>
  <c r="K85" i="2" l="1"/>
  <c r="O65" i="2"/>
  <c r="M52" i="3"/>
  <c r="N52" i="3" s="1"/>
  <c r="O82" i="2"/>
  <c r="C26" i="4"/>
  <c r="C31" i="7" s="1"/>
  <c r="B31" i="7" s="1"/>
  <c r="J44" i="6"/>
  <c r="C44" i="6" s="1"/>
  <c r="M84" i="2"/>
  <c r="L83" i="2"/>
  <c r="H43" i="5"/>
  <c r="K65" i="3"/>
  <c r="C44" i="4"/>
  <c r="H19" i="6"/>
  <c r="J24" i="6"/>
  <c r="C25" i="5"/>
  <c r="I13" i="5"/>
  <c r="N21" i="2"/>
  <c r="L16" i="3"/>
  <c r="H18" i="6"/>
  <c r="H14" i="6" s="1"/>
  <c r="H51" i="6" s="1"/>
  <c r="J26" i="5"/>
  <c r="N35" i="3"/>
  <c r="H12" i="5"/>
  <c r="H10" i="6"/>
  <c r="G4" i="5"/>
  <c r="G3" i="5" s="1"/>
  <c r="F4" i="6"/>
  <c r="F3" i="6" s="1"/>
  <c r="F49" i="6"/>
  <c r="J11" i="5"/>
  <c r="O18" i="2"/>
  <c r="H6" i="6"/>
  <c r="H5" i="5"/>
  <c r="I18" i="5"/>
  <c r="I18" i="6" s="1"/>
  <c r="N34" i="2"/>
  <c r="M35" i="2"/>
  <c r="N4" i="2"/>
  <c r="L4" i="3"/>
  <c r="I6" i="5"/>
  <c r="G5" i="6"/>
  <c r="G50" i="6" s="1"/>
  <c r="B30" i="7"/>
  <c r="M76" i="2"/>
  <c r="N69" i="2"/>
  <c r="L56" i="3"/>
  <c r="I42" i="6"/>
  <c r="I41" i="6" s="1"/>
  <c r="H4" i="5" l="1"/>
  <c r="C43" i="4"/>
  <c r="C29" i="7"/>
  <c r="B29" i="7" s="1"/>
  <c r="C24" i="4"/>
  <c r="D24" i="4" s="1"/>
  <c r="C11" i="4"/>
  <c r="N84" i="2"/>
  <c r="L65" i="3"/>
  <c r="M83" i="2"/>
  <c r="I43" i="5"/>
  <c r="H5" i="6"/>
  <c r="N35" i="2"/>
  <c r="M4" i="3"/>
  <c r="J6" i="5"/>
  <c r="C6" i="5" s="1"/>
  <c r="O4" i="2"/>
  <c r="J16" i="6"/>
  <c r="C11" i="5"/>
  <c r="J25" i="6"/>
  <c r="C25" i="6" s="1"/>
  <c r="C26" i="5"/>
  <c r="C24" i="6"/>
  <c r="G4" i="6"/>
  <c r="G3" i="6" s="1"/>
  <c r="G49" i="6"/>
  <c r="M16" i="3"/>
  <c r="N16" i="3" s="1"/>
  <c r="J13" i="5"/>
  <c r="C13" i="5" s="1"/>
  <c r="O21" i="2"/>
  <c r="J24" i="5"/>
  <c r="I14" i="6"/>
  <c r="I51" i="6" s="1"/>
  <c r="I5" i="5"/>
  <c r="I6" i="6"/>
  <c r="J18" i="5"/>
  <c r="J18" i="6" s="1"/>
  <c r="C18" i="6" s="1"/>
  <c r="D23" i="7" s="1"/>
  <c r="O34" i="2"/>
  <c r="I10" i="6"/>
  <c r="I12" i="5"/>
  <c r="M56" i="3"/>
  <c r="N76" i="2"/>
  <c r="J42" i="6"/>
  <c r="J41" i="6" s="1"/>
  <c r="C41" i="6" s="1"/>
  <c r="H3" i="5"/>
  <c r="L85" i="2"/>
  <c r="C24" i="7" l="1"/>
  <c r="B24" i="7" s="1"/>
  <c r="C19" i="4"/>
  <c r="D19" i="4" s="1"/>
  <c r="O84" i="2"/>
  <c r="M85" i="2"/>
  <c r="O35" i="2"/>
  <c r="C18" i="4"/>
  <c r="C6" i="4"/>
  <c r="C5" i="4" s="1"/>
  <c r="D5" i="4" s="1"/>
  <c r="C13" i="4"/>
  <c r="H4" i="6"/>
  <c r="H3" i="6" s="1"/>
  <c r="H50" i="6"/>
  <c r="H49" i="6" s="1"/>
  <c r="N4" i="3"/>
  <c r="M65" i="3"/>
  <c r="N83" i="2"/>
  <c r="J43" i="5"/>
  <c r="C43" i="5" s="1"/>
  <c r="J20" i="6"/>
  <c r="J19" i="6" s="1"/>
  <c r="C19" i="6" s="1"/>
  <c r="B23" i="7"/>
  <c r="D17" i="7"/>
  <c r="I4" i="5"/>
  <c r="I3" i="5" s="1"/>
  <c r="J12" i="5"/>
  <c r="C12" i="5" s="1"/>
  <c r="J10" i="6"/>
  <c r="C10" i="6" s="1"/>
  <c r="C18" i="7" s="1"/>
  <c r="I5" i="6"/>
  <c r="I50" i="6" s="1"/>
  <c r="J14" i="6"/>
  <c r="J51" i="6" s="1"/>
  <c r="C16" i="6"/>
  <c r="D16" i="7" s="1"/>
  <c r="J6" i="6"/>
  <c r="J5" i="5"/>
  <c r="J19" i="5"/>
  <c r="C24" i="5"/>
  <c r="C19" i="5" s="1"/>
  <c r="C18" i="5"/>
  <c r="N56" i="3"/>
  <c r="C42" i="6"/>
  <c r="O76" i="2"/>
  <c r="O83" i="2" l="1"/>
  <c r="O85" i="2" s="1"/>
  <c r="C12" i="4"/>
  <c r="J5" i="6"/>
  <c r="J50" i="6" s="1"/>
  <c r="N65" i="3"/>
  <c r="B49" i="7"/>
  <c r="C48" i="7"/>
  <c r="B48" i="7" s="1"/>
  <c r="C20" i="6"/>
  <c r="J4" i="5"/>
  <c r="J3" i="5" s="1"/>
  <c r="I4" i="6"/>
  <c r="I3" i="6" s="1"/>
  <c r="D10" i="7"/>
  <c r="D9" i="7" s="1"/>
  <c r="B16" i="7"/>
  <c r="C17" i="7"/>
  <c r="B17" i="7" s="1"/>
  <c r="B18" i="7"/>
  <c r="C51" i="6"/>
  <c r="C14" i="6"/>
  <c r="C6" i="6"/>
  <c r="C11" i="7" s="1"/>
  <c r="C5" i="5"/>
  <c r="C4" i="5" s="1"/>
  <c r="N85" i="2"/>
  <c r="C44" i="5"/>
  <c r="C4" i="4" l="1"/>
  <c r="D12" i="4"/>
  <c r="C5" i="6"/>
  <c r="J4" i="6"/>
  <c r="J3" i="6" s="1"/>
  <c r="C3" i="6" s="1"/>
  <c r="C3" i="5"/>
  <c r="D8" i="7"/>
  <c r="D3" i="7" s="1"/>
  <c r="B11" i="7"/>
  <c r="C10" i="7"/>
  <c r="I49" i="6"/>
  <c r="C50" i="6"/>
  <c r="J49" i="6"/>
  <c r="C3" i="4" l="1"/>
  <c r="D3" i="4" s="1"/>
  <c r="D4" i="4"/>
  <c r="C4" i="6"/>
  <c r="C49" i="6"/>
  <c r="B10" i="7"/>
  <c r="C9" i="7"/>
  <c r="C8" i="7" s="1"/>
  <c r="G365" i="1"/>
  <c r="G358" i="1" s="1"/>
  <c r="G562" i="1" s="1"/>
  <c r="B9" i="7" l="1"/>
  <c r="C3" i="7" l="1"/>
  <c r="B8" i="7"/>
  <c r="B3" i="7" s="1"/>
  <c r="D4" i="7" s="1"/>
  <c r="C4" i="7" l="1"/>
</calcChain>
</file>

<file path=xl/sharedStrings.xml><?xml version="1.0" encoding="utf-8"?>
<sst xmlns="http://schemas.openxmlformats.org/spreadsheetml/2006/main" count="2036" uniqueCount="676">
  <si>
    <t>TABLE 1. DETAILED BUDGET</t>
  </si>
  <si>
    <t xml:space="preserve">Component </t>
  </si>
  <si>
    <t xml:space="preserve">Output </t>
  </si>
  <si>
    <t>Activity</t>
  </si>
  <si>
    <t>Sub Activity</t>
  </si>
  <si>
    <t>Financing Source</t>
  </si>
  <si>
    <t xml:space="preserve">Budget Account Description </t>
  </si>
  <si>
    <t>Assumptions *</t>
  </si>
  <si>
    <t>Amount Year 1 (USD)</t>
  </si>
  <si>
    <t>Amount Year 2 (USD)</t>
  </si>
  <si>
    <t>Amount Year 3 (USD)</t>
  </si>
  <si>
    <t>Amount Year 4 (USD)</t>
  </si>
  <si>
    <t>Amount Year 5 (USD)</t>
  </si>
  <si>
    <t>Amount Year 6 (USD)</t>
  </si>
  <si>
    <t>Amount Year 7 (USD)</t>
  </si>
  <si>
    <t>Total (USD)</t>
  </si>
  <si>
    <t>Reference</t>
  </si>
  <si>
    <t>Component 1: Strengthened adaptative capacity and reduced exposure to climate risks</t>
  </si>
  <si>
    <t>Output 1: Increased CC-resilient production landscapes through investment in innovative agroforestry and sylvopastoral systems, reforestation with close-to-nature planted forests (CTNPFs) and assisted natural forest regeneration</t>
  </si>
  <si>
    <t>1.1Restore approximately 15,544 ha of farmland, and increase CC-resilience through sustainable agroforestry (AF), CTNPFs and assisted natural regeneration (mitigation co-benefit  833,950.60 million tCO2-eq. in 7 years of implementation)</t>
  </si>
  <si>
    <t>1.1.1: Procure identified technologies and equipment</t>
  </si>
  <si>
    <t>GCF</t>
  </si>
  <si>
    <t>Equipment</t>
  </si>
  <si>
    <t>Purchase and distribution of technology and equipment that will be used to clear marabú thickets on soils at high risk of desertification and degradation. Low impact technologies will be acquired that have been successfully pilot tested under Cuban or similar conditions and will be applied at scale. Agroforestry systems, CTNPF and assisted natural regeneration will then be initiated through the application of Modules described to restore ecosystem function and services.</t>
  </si>
  <si>
    <t>A</t>
  </si>
  <si>
    <t xml:space="preserve">Implementation of operations and maintenance program of marabu and agroforestry technologies </t>
  </si>
  <si>
    <t>B</t>
  </si>
  <si>
    <t>Acquisition of inputs to be used on the clearing of land invaded by Dychostachys cinerea (marabú).</t>
  </si>
  <si>
    <t>C</t>
  </si>
  <si>
    <t>Acquisition of inputs to be used during the phases of establishment, cultural work (control of weeds, pests and diseases and plant nutrition) for the development of the species that make up the agroforestry arrangement of the different modules to be implemented.</t>
  </si>
  <si>
    <t>D</t>
  </si>
  <si>
    <t>Acquisition of synthetic fertilizer (NPK) to be used in the phases of establishment and development of agricultural and fruit crops included in the modules to be implemented.</t>
  </si>
  <si>
    <t>E</t>
  </si>
  <si>
    <t xml:space="preserve">Enhance the capacities in the soil laboratories in the provinces of intervention of the project (Las Tunas, Villa Clara and Matanzas) to guarantee an efficient and quality service, according to the conditions that are established, of the soil and water analyzes , plants and fruits that are required during the diagnosis and monitoring of the intervention sites. </t>
  </si>
  <si>
    <t>F</t>
  </si>
  <si>
    <t>Strengthening of municipal agroforestry nurseries administered by the base business units.</t>
  </si>
  <si>
    <t>G</t>
  </si>
  <si>
    <t xml:space="preserve">Creation or improvement of working conditions for the incorporation of women into the agricultural work of the modules to be implemented. (e.g. gender differentiated toilets will be created, and the conditions of existing toilets will be improved) </t>
  </si>
  <si>
    <t>H</t>
  </si>
  <si>
    <t>1.1.2: Develop training materials for operations and maintenance</t>
  </si>
  <si>
    <t>Professional/ Contractual Services</t>
  </si>
  <si>
    <t xml:space="preserve">Development of training material of low impact technologies that have been successfully pilot tested under Cuban or similar conditions and will be applied at scale. </t>
  </si>
  <si>
    <t>I</t>
  </si>
  <si>
    <t>Development of training material for operations and maintenance of machinery that will be used on implementation of agroforestry and forestry modules of the project.</t>
  </si>
  <si>
    <t>J</t>
  </si>
  <si>
    <t>1.1.3: Train 74 machinery operators</t>
  </si>
  <si>
    <t>Training, workshops, and conference</t>
  </si>
  <si>
    <t>Workshops for the training of 35 machinery operators, on the maintenance and use of machinery and equipment that will be used in the project.</t>
  </si>
  <si>
    <t>K</t>
  </si>
  <si>
    <t xml:space="preserve">1.1.4: Apply technologies to marabu eradication on 15,544 ha </t>
  </si>
  <si>
    <t>CUBA - FONADEF</t>
  </si>
  <si>
    <t>Staff Cost</t>
  </si>
  <si>
    <t xml:space="preserve">Labor cost of the Ministry of Agriculture of CUBA (MINAG) and the National Forest Development Fund (FONADEF) in workers and technicians who will support the activities for the clearing of land invaded by Dychostachys cinerea (marabú) and land preparation of agroforestry modules of the project. </t>
  </si>
  <si>
    <t>L</t>
  </si>
  <si>
    <t>1.1.5: Construct 896 water security systems (storage facilities and irrigation)</t>
  </si>
  <si>
    <t>Cost of construction of 452 excavated reservoir of diferent capacity, and 896 drip irrigation system with electric pumping unit.</t>
  </si>
  <si>
    <t>M</t>
  </si>
  <si>
    <t xml:space="preserve">1.1.6: Establish and implement agroforestry, reforestation and assisted natural regeneration modules </t>
  </si>
  <si>
    <t>N</t>
  </si>
  <si>
    <t>Labor cost of the Ministry of Agriculture of CUBA (MINAG) and the National Forest Development Fund (FONADEF) in workers and technicians who will support during a period of 7 years, the activities in each one of the phases of the phenological development of the species that form the agroforestry arrangement of the different modules; which includes the clearing of land (if the area is invaded by Dychostachys cinerea (marabú), support for land preparation, establishment, cultural work and harvesting (when it refers to annual and semi-permanent agricultural cycle species).</t>
  </si>
  <si>
    <t>O</t>
  </si>
  <si>
    <t>P</t>
  </si>
  <si>
    <t>Contract twelve specialists (four per province) to work in soil laboratories and ensure an efficient and quality service.</t>
  </si>
  <si>
    <t>Q</t>
  </si>
  <si>
    <t>Activity 1.2 Restore approximately 20,189 ha of rangeland with compacted soils and increase CC-resilience through improved silvopastoral systems (mitigation net co-benefit  381,311.51 million t CO2eq in 7 years of implementation).</t>
  </si>
  <si>
    <t>1.2.1: Procure and field identified technologies and equipment</t>
  </si>
  <si>
    <t>Purchase and distribution of technology and equipment that will be used to establish two modules for sylvopastoral systems adapted to climate change.</t>
  </si>
  <si>
    <t>R</t>
  </si>
  <si>
    <t xml:space="preserve">Implementation of operations and maintenance program of silvopastoral technologies </t>
  </si>
  <si>
    <t>S</t>
  </si>
  <si>
    <t>Acquisition of inputs for the use in the establishment, management and grazing or forage cutting phase for the feeding of bovine cattle destined to the production of milk and meat.</t>
  </si>
  <si>
    <t>T</t>
  </si>
  <si>
    <t>Sequence of instalation and arrangement of the perimeter fences internal.</t>
  </si>
  <si>
    <t>U</t>
  </si>
  <si>
    <t>Acquisition of synthetic fertilizer (NPK) to be used in the phases of establishment and development of of the sylvopastoral modules to be implemented on the project.</t>
  </si>
  <si>
    <t>V</t>
  </si>
  <si>
    <t xml:space="preserve">Installation of biodigesters associated with the dairies that are part of the livestock systems with silvopastoralism and from other residuals (this facilitates the cooking of food, humanizes the process and allows them to save time to dedicate to other activities of their interest). </t>
  </si>
  <si>
    <t>W</t>
  </si>
  <si>
    <t>X</t>
  </si>
  <si>
    <t xml:space="preserve">1.2.2: Develop training materials </t>
  </si>
  <si>
    <t>Development of training material for the implementation of the two modules for sylvopastoral systems adapted to climate change.</t>
  </si>
  <si>
    <t>Y</t>
  </si>
  <si>
    <t>Development of training material for operations and maintenance of machinery that will be used on implementation of the two modules for sylvopastoral systems adapted to climate change of the project.</t>
  </si>
  <si>
    <t>Z</t>
  </si>
  <si>
    <t xml:space="preserve">1.2.3: Train 68 machinery operators  </t>
  </si>
  <si>
    <t>Workshops for the training of 68 machinery operators, on the maintenance and use of machinery and equipment that will be used on the sylvopastoral modules of the project, to improve 20,189 hectares of rangeland with compacted soils.</t>
  </si>
  <si>
    <t>AA</t>
  </si>
  <si>
    <t>1.2.4: Implement sub-soiling of 20,189 hectares of compacted rangeland</t>
  </si>
  <si>
    <t>Labor cost of the Ministry of Agriculture of CUBA (MINAG) and the National Forest Development Fund (FONADEF) in workers and technicians who will support the activities for the for the land preparation and  implement sub-soiling of compacted hectarage for the sylvopastoral modules of the project.</t>
  </si>
  <si>
    <t>AB</t>
  </si>
  <si>
    <t>1.2.5: Construct 11,362 small-scale water security systems (storage and livestock drinking facilities)</t>
  </si>
  <si>
    <t>Cost of construction of 11,362 small-scale water security systems (storage and livestock drinking facilities)</t>
  </si>
  <si>
    <t>AC</t>
  </si>
  <si>
    <t xml:space="preserve">1.2.6: Establish and implement sylvopastoral modules, including improved grazing systems </t>
  </si>
  <si>
    <t>Labor cost of the Ministry of Agriculture of CUBA (MINAG) and the National Forest Development Fund (FONADEF) in workers and technicians who will support the activities during a period of 7 years, to establish and implement sylvopastoral modules, including improved grazing systems.</t>
  </si>
  <si>
    <t>AD</t>
  </si>
  <si>
    <t>AE</t>
  </si>
  <si>
    <t>AF</t>
  </si>
  <si>
    <t>Total Component 1</t>
  </si>
  <si>
    <t>Component 2: Improved management of land or forest areas contributing to emissions reductions</t>
  </si>
  <si>
    <t>Output 2: Strengthened institutional and farmer capacities to improve ecosystem services through agroforestry and forestry systems and enhance the climate-resilience of production landscapes</t>
  </si>
  <si>
    <t>2.1 Increase institutional capacities to support farmers and producers’ organizations to establish and maintain agroforestry, sylvopastoral and forestry systems for improved ecosystem services</t>
  </si>
  <si>
    <t>2.1.1: Develop training   materials for use by trainers of extensionists</t>
  </si>
  <si>
    <t>Development of training material on various topics that may include: no-till cultivation, inter-cropping, cut-and-carry forage feeding, sub-soiling, soil conservation with gabions, gully plugs, bunds, contour farming, agroforestry and sylvopastoral system design, application of efficient irrigation technologies and water harvesting and storage systems and others.</t>
  </si>
  <si>
    <t>AG</t>
  </si>
  <si>
    <t>2.1.2: Train 443 extension service technicians, agricultural technicians, and cooperative leaders   to lead  farmers in gender and age-sensitive learning-by-doing regarding the implementation, operations and maintenance of their agroforestry or forestry systems; topics covered may include no-till cultivation; inter-cropping; cut-and-carry forage feeding; sub-soiling; soil conservation with gabions, gully plugs, bunds, and contour farming; agroforestry and sylvopastoral system design; application of efficient irrigation technologies and water harvesting and storage systems and others;</t>
  </si>
  <si>
    <t xml:space="preserve">Workshops for the training of 443 extension service technicians, agricultural technicians, and cooperative leaders/administrators </t>
  </si>
  <si>
    <t>AH</t>
  </si>
  <si>
    <t>2.1.3: Development of supplementary learning materials and information on CC, ecosystem function and services, agroecology, agroforestry and forestry systems, and farm economics;</t>
  </si>
  <si>
    <t>Development of learning materials and information on climate change, ecosystem function and services, agroecology, agroforestry and forestry systems, and farm economics;</t>
  </si>
  <si>
    <t>AI</t>
  </si>
  <si>
    <t xml:space="preserve">2.2 Train agricultural producers to collectively revitalize and manage production landscapes for gender-equitable climate-resilient agriculture and ecosystem services
</t>
  </si>
  <si>
    <t>2.2.1: Establish or strengthen existing Farmer Field Schools (17) in the seven municipalities based on type of agroforestry, sylvopastoral or forestry system to be implemented and logistical and other considerations ;</t>
  </si>
  <si>
    <t>Establish or strengthen 17 Farmer Field Schools</t>
  </si>
  <si>
    <t>AJ</t>
  </si>
  <si>
    <t>Gender diagnosis and reports of results of the implementation of the gender action plan action plan.</t>
  </si>
  <si>
    <t>AK</t>
  </si>
  <si>
    <t>Design and implementation of a training, sensitization or knowledge management program for technical producers, extensionists and beneficiary personnel in general, focused on the differentiated needs of men and women (possible topics to be included): Gender and CC, Resilience with a gender perspective, gender violence, masculinities)</t>
  </si>
  <si>
    <t>AL</t>
  </si>
  <si>
    <t>Carry out a women`s leadership training workshop to promote women's exercise of leadership, taking into account their knowledge, skills and experiences, to meet their basic and strategic needs.</t>
  </si>
  <si>
    <t>AM</t>
  </si>
  <si>
    <t>GCF. Monitoring professional / contractual services.  Baseline.</t>
  </si>
  <si>
    <t>AN</t>
  </si>
  <si>
    <t>2.2.2: Implementation of 17 Farmer Field Schools and training of 15,549   farmers using the participatory research and learning-by-doing approach.</t>
  </si>
  <si>
    <t>Workshops and technical sessions, exchanges</t>
  </si>
  <si>
    <t>AO</t>
  </si>
  <si>
    <t>Support to project extension team</t>
  </si>
  <si>
    <t>AP</t>
  </si>
  <si>
    <t>Training and courses</t>
  </si>
  <si>
    <t>AQ</t>
  </si>
  <si>
    <t>Total Component 2</t>
  </si>
  <si>
    <t>Component 3: Strengthened institutional and regulatory systems for climate-responsive planning and development</t>
  </si>
  <si>
    <t xml:space="preserve">Output 3:  Effective governance to support climate resilience-enhancing production systems and ecosystem services </t>
  </si>
  <si>
    <t>3.1 Develop, discuss and analyze options for policy reforms to support implementation of agroforestry, sylvopastoral and forestry systems for landscape resilience through improved ecosystem services</t>
  </si>
  <si>
    <t xml:space="preserve">3.1.1: Ten workshops with expert assistance and input (international and national experts) to facilitate inter-institutional analyses and discussions regarding policy objectives, needs and options for the modification or reform of agricultural and land-use policy; </t>
  </si>
  <si>
    <t>Workshops with experts</t>
  </si>
  <si>
    <t>AR</t>
  </si>
  <si>
    <t>Program of environmental and social safeguards</t>
  </si>
  <si>
    <t>AS</t>
  </si>
  <si>
    <t>3.1.2: Definition and discussion of institutional modifications or adaptations in support of the different options for policy reforms to support landscape resilience through improved ecosystem services;</t>
  </si>
  <si>
    <t>International Consultants</t>
  </si>
  <si>
    <t>International consultancies for the formulation of proposals for reforms of policy, regulatory, planning instruments</t>
  </si>
  <si>
    <t>AT</t>
  </si>
  <si>
    <t>3.1.3: Development of specific proposals for policy reforms;</t>
  </si>
  <si>
    <t>3.1.4: Discussion of reform proposals at national level.</t>
  </si>
  <si>
    <t>Local consultants</t>
  </si>
  <si>
    <t>Consultancies for the the discussion of reform proposals at national level.</t>
  </si>
  <si>
    <t>AU</t>
  </si>
  <si>
    <t>3.2 Establish a Landscape Resilience Fund to support adoption and implementation of agroforestry, sylvopastoral and forestry systems in support of landscape resilience through ecosystem service enhancement</t>
  </si>
  <si>
    <t>3.2.1: Expert analyses of existing funds (FONADEF, SCF) and other funds both regionally and globally;</t>
  </si>
  <si>
    <t>International consultancies for the analyses of existing funds and formulation of proposals</t>
  </si>
  <si>
    <t>AV</t>
  </si>
  <si>
    <t>3.2.2: Ten workshops to analyze and develop options for a Landscape Resilience Fund to support implementation of landscape resilience policies on the ground;</t>
  </si>
  <si>
    <t>Workshops  to analyze and develop policies and mechanisms regarding financial mechanisms and economic instruments</t>
  </si>
  <si>
    <t>AW</t>
  </si>
  <si>
    <t>3.2.3: Design of a Landscape Resilience Fund to support resilience-enhancing land use by farmers and producers’ organizations;</t>
  </si>
  <si>
    <t>Consultancies for the design of a landscape resilience fund.</t>
  </si>
  <si>
    <t>AX</t>
  </si>
  <si>
    <t>3.2.4: Formal legal establishment of the Landscape Resilience Fund;</t>
  </si>
  <si>
    <t>Extension team project</t>
  </si>
  <si>
    <t>AY</t>
  </si>
  <si>
    <t>3.2.5: Elaboration of communication strategy and materials, and dissemination.</t>
  </si>
  <si>
    <t>Design and implementation of a gender-sensitive communication and dissemination program or strategy.</t>
  </si>
  <si>
    <t>AZ</t>
  </si>
  <si>
    <t>Elaboration and implementation of gender action plans at the level of each beneficiary entity that take into account the basic and strategic needs, knowledge and skills of the communities, especially women.</t>
  </si>
  <si>
    <t>BA</t>
  </si>
  <si>
    <t xml:space="preserve"> Identification of a map of key actors working on gender in each zone to establish strategic alliances and joint actions.</t>
  </si>
  <si>
    <t>BB</t>
  </si>
  <si>
    <t>3.3 Strengthen planning, governance and coordination at the landscape level in support of landscape resilience through enhancement of ecosystem services</t>
  </si>
  <si>
    <t>3.3.1: Train 30 senior management staff from 10 local branches of established organizations   (Asociacion Cubana de Tecnicos Agricolas y Forestales - ACTAF, Asociacion Cubana de Produccion Animal - ACPA, Asociacion Nacional de Agricultures Pequeños -ANAP, and Federaciòn de Mujeres Cubanas - FMC) to participate effectively in local planning and decision-making processes;</t>
  </si>
  <si>
    <t>Workshops / expertise</t>
  </si>
  <si>
    <t>BC</t>
  </si>
  <si>
    <t>3.3.2: Multi-level review and analysis of landscape resilience policies and planning instruments as a framework for adaptive landscape management;</t>
  </si>
  <si>
    <t>Workshops</t>
  </si>
  <si>
    <t>BD</t>
  </si>
  <si>
    <t>3.3.3: Fifteen workshops to strengthen coordination in local landscape governance structures for climate change adaptation: Comision de Reforestacion, Grupo de Bahia, Comision de Cuencas Hidrograficas, Comision de Asuntos Agrarios; Grupos Provinciales y Municipales de Tarea Vida.</t>
  </si>
  <si>
    <t>BE</t>
  </si>
  <si>
    <t>Trainings</t>
  </si>
  <si>
    <t>BF</t>
  </si>
  <si>
    <t>Total Component 3</t>
  </si>
  <si>
    <t>Project Management Costs</t>
  </si>
  <si>
    <t>PMU</t>
  </si>
  <si>
    <t>Follow-up for the implementation of the project. Support unit and financial management of the project.</t>
  </si>
  <si>
    <t>BG</t>
  </si>
  <si>
    <t>Follow-up for the implementation of the project.  Support unit and financial management of the project.</t>
  </si>
  <si>
    <t>BH</t>
  </si>
  <si>
    <t>Office maintenance of the Project Management Unit (General services, utilities, etc.). Support unit and financial management of the project.</t>
  </si>
  <si>
    <t>BI</t>
  </si>
  <si>
    <t xml:space="preserve">Vehicles to support the national, provincial and municipal units of project management. </t>
  </si>
  <si>
    <t>BJ</t>
  </si>
  <si>
    <t>GCF. Implementation of operations and maintenance program of vehicles to support the national, provincial and municipal units of the project</t>
  </si>
  <si>
    <t>BK</t>
  </si>
  <si>
    <t xml:space="preserve">Computers and Printers to support the national, provincial and municipal units of project management. </t>
  </si>
  <si>
    <t>BL</t>
  </si>
  <si>
    <t xml:space="preserve">Multimedia and communication equipment to support the national, provincial and municipal units of project management. </t>
  </si>
  <si>
    <t>BM</t>
  </si>
  <si>
    <t xml:space="preserve">Air conditioning, furniture and various office utensils to support the national, provincial and municipal units of project management. </t>
  </si>
  <si>
    <t>BN</t>
  </si>
  <si>
    <t xml:space="preserve">Vehicles running costs to support the national, provincial and municipal units of project management. </t>
  </si>
  <si>
    <t>BO</t>
  </si>
  <si>
    <t xml:space="preserve">Project staff of the national, provincial and municipal units of project management. </t>
  </si>
  <si>
    <t>BP</t>
  </si>
  <si>
    <t>Office maintenance of the Project Management Unit (General services, utilities, etc.).</t>
  </si>
  <si>
    <t>BQ</t>
  </si>
  <si>
    <t>Total PMC</t>
  </si>
  <si>
    <t>Evaluation (includes cost of an impact evaluation)</t>
  </si>
  <si>
    <t>Consultancy</t>
  </si>
  <si>
    <t>BR</t>
  </si>
  <si>
    <t>Middle term evaluation</t>
  </si>
  <si>
    <t>BS</t>
  </si>
  <si>
    <t>Final evaluation</t>
  </si>
  <si>
    <t>BT</t>
  </si>
  <si>
    <t>Impact Evaluation Costs</t>
  </si>
  <si>
    <t>BU</t>
  </si>
  <si>
    <t>BV</t>
  </si>
  <si>
    <t>Total Evaluation Costs</t>
  </si>
  <si>
    <t>Total Poject Costs</t>
  </si>
  <si>
    <t>Total GCF Project Costs</t>
  </si>
  <si>
    <t>Total CUBA - FONADEF Costs</t>
  </si>
  <si>
    <t>TABLE 2. DETAILED BUDGET NOTES</t>
  </si>
  <si>
    <t>Unit type</t>
  </si>
  <si>
    <t>Estimated total units*</t>
  </si>
  <si>
    <t>Estimated USD unit cost*</t>
  </si>
  <si>
    <t>Total Cost</t>
  </si>
  <si>
    <t>GCF. Purchase and distribution of technology and equipment that will be used to clear marabú thickets on soils at high risk of desertification and degradation. Low impact technologies will be acquired that have been successfully pilot tested under Cuban or similar conditions and will be applied at scale. Agroforestry systems, CTNPF and assisted natural regeneration will then be initiated through the application of Modules described to restore ecosystem function and services.</t>
  </si>
  <si>
    <t>Biomass harvester (Marabu) BMH - 480</t>
  </si>
  <si>
    <t>Unit</t>
  </si>
  <si>
    <t>120 hp tractor with 4 x 4 moto diagram</t>
  </si>
  <si>
    <t>90 hp tractor with 4 x 4 moto diagram</t>
  </si>
  <si>
    <t>45 hp tractor</t>
  </si>
  <si>
    <t>Backhoe</t>
  </si>
  <si>
    <t xml:space="preserve">Additional equipment and tools </t>
  </si>
  <si>
    <t>Rotovator TR 400</t>
  </si>
  <si>
    <t>Ridger/Furrow opener – 3 bodies</t>
  </si>
  <si>
    <t>Multiplow</t>
  </si>
  <si>
    <t>Seeder</t>
  </si>
  <si>
    <t>three-organ furrower</t>
  </si>
  <si>
    <t>Trailer tribasculanye 14t</t>
  </si>
  <si>
    <t xml:space="preserve">Agricultural Trailer 7 T  </t>
  </si>
  <si>
    <t>Underground drill (Hoyadora)</t>
  </si>
  <si>
    <t>precision seeder</t>
  </si>
  <si>
    <t>Multiplow 6 in 1</t>
  </si>
  <si>
    <t>integral sprinkler with a capacity of 800 L</t>
  </si>
  <si>
    <t xml:space="preserve">Manual tools </t>
  </si>
  <si>
    <t>Manual tillage equipment</t>
  </si>
  <si>
    <t>Manual crusher with set of cutting discs.</t>
  </si>
  <si>
    <t>Borer manual</t>
  </si>
  <si>
    <t>Manual granular fertilizer applicator</t>
  </si>
  <si>
    <t>Back pack sprinkler gasoline motor 20-25 L</t>
  </si>
  <si>
    <t>Back pack sprinkler  20-25 L</t>
  </si>
  <si>
    <t>manual brush-cutter</t>
  </si>
  <si>
    <t>Chainsaws for thinning and cutting</t>
  </si>
  <si>
    <t>Telescopic Chainsaws</t>
  </si>
  <si>
    <t>GCF. Implementation of operations and maintenance program of marabu and agroforestry technologies</t>
  </si>
  <si>
    <t>Costs of operations and maintenance program of equipment assigned and managed by UEBIST</t>
  </si>
  <si>
    <t>BMH 480 Brushcutter</t>
  </si>
  <si>
    <t>Year</t>
  </si>
  <si>
    <t>120 hp rim tractor</t>
  </si>
  <si>
    <t>Tractor with 90 hp rim</t>
  </si>
  <si>
    <t>45 hp rim tractor</t>
  </si>
  <si>
    <t>Excavator</t>
  </si>
  <si>
    <t>Sub-Total</t>
  </si>
  <si>
    <t>Costs of operations and maintenance program of implements assigned and managed by UEBIST</t>
  </si>
  <si>
    <t>3 organ subsoiler</t>
  </si>
  <si>
    <t>Multiadrado</t>
  </si>
  <si>
    <t>Cultivator</t>
  </si>
  <si>
    <t>3 organ furrower</t>
  </si>
  <si>
    <t>Trailer tribasculant 14t</t>
  </si>
  <si>
    <t>7t trailer</t>
  </si>
  <si>
    <t>Choking - Borer</t>
  </si>
  <si>
    <t>Precision sowing machine with coarse grains / 4 rows</t>
  </si>
  <si>
    <t>Multiadrado 6 in 1</t>
  </si>
  <si>
    <t>400 L integral sprayer</t>
  </si>
  <si>
    <t>Forage Machine by cardan</t>
  </si>
  <si>
    <t>Harvester</t>
  </si>
  <si>
    <t>Hay Baler</t>
  </si>
  <si>
    <t>Windrower</t>
  </si>
  <si>
    <t>Grass mower</t>
  </si>
  <si>
    <t>Costs of operations and maintenance program of implements assigned and managed by the Beneficiary productive forms from the project</t>
  </si>
  <si>
    <t>Manual grain seeder</t>
  </si>
  <si>
    <t>Manual borer - gasoline engine</t>
  </si>
  <si>
    <t>Granular fertilizer manual applicator</t>
  </si>
  <si>
    <t>Backpack sprayer with 20-25 liter gasoline engine</t>
  </si>
  <si>
    <t>20-25 liter backpack sprinkler</t>
  </si>
  <si>
    <t>Brushcutter - Manual Motoguadaña</t>
  </si>
  <si>
    <t>Chainsaw for thinning, pruning and felling</t>
  </si>
  <si>
    <t>Battery telescopic chainsaw</t>
  </si>
  <si>
    <r>
      <rPr>
        <b/>
        <sz val="11"/>
        <color rgb="FF000000"/>
        <rFont val="Calibri"/>
        <family val="2"/>
        <scheme val="minor"/>
      </rPr>
      <t xml:space="preserve">GCF. </t>
    </r>
    <r>
      <rPr>
        <sz val="11"/>
        <color rgb="FF000000"/>
        <rFont val="Calibri"/>
        <family val="2"/>
        <scheme val="minor"/>
      </rPr>
      <t xml:space="preserve">Inputs. Acquisition of inputs to be used on the clearing of land invaded by Dychostachys cinerea (marabú). Please see Section F, F.1. Risk factors and mitigations measures and Section G. 1. Environmental and social risk assessment, of Funding Proposal. </t>
    </r>
  </si>
  <si>
    <t>Herbicide for agroforestry modules</t>
  </si>
  <si>
    <t>Liter</t>
  </si>
  <si>
    <t xml:space="preserve">GCF. Acquisition of inputs to be used during the phases of establishment, cultural work (control of weeds, pests and diseases and plant nutrition) for the development of the species that make up the agroforestry arrangement of the different modules to be implemented.
</t>
  </si>
  <si>
    <t>Fuel and lubricants for agroforestry modules</t>
  </si>
  <si>
    <r>
      <rPr>
        <b/>
        <sz val="11"/>
        <color rgb="FF000000"/>
        <rFont val="Calibri"/>
        <family val="2"/>
        <scheme val="minor"/>
      </rPr>
      <t xml:space="preserve">GCF. </t>
    </r>
    <r>
      <rPr>
        <sz val="11"/>
        <color rgb="FF000000"/>
        <rFont val="Calibri"/>
        <family val="2"/>
        <scheme val="minor"/>
      </rPr>
      <t>Acquisition of synthetic fertilizer (NPK) to be used in the phases of establishment and development of agricultural and fruit crops included in the modules to be implemented.</t>
    </r>
  </si>
  <si>
    <t>Synthetic fertilizer (NPK) for module No. 1: CEDPLA</t>
  </si>
  <si>
    <t>Kilograms</t>
  </si>
  <si>
    <t>Synthetic fertilizer (NPK) for module No. 4: FRUAGR</t>
  </si>
  <si>
    <t xml:space="preserve">GCF. Enhance the capacities in the soil laboratories in the provinces of intervention of the project (Las Tunas, Villa Clara and Matanzas) to guarantee an efficient and quality service, according to the conditions that are established, of the soil and water analyzes , plants and fruits that are required during the diagnosis and monitoring of the intervention sites. </t>
  </si>
  <si>
    <t>Floor auger set</t>
  </si>
  <si>
    <t>Soil Mill</t>
  </si>
  <si>
    <t>Foliar Mill</t>
  </si>
  <si>
    <t>Air compressor for photometer</t>
  </si>
  <si>
    <t>Stove</t>
  </si>
  <si>
    <t>Orbital Zaranda</t>
  </si>
  <si>
    <t>Autoclave</t>
  </si>
  <si>
    <t>Colorimeter</t>
  </si>
  <si>
    <t>Analytical balance</t>
  </si>
  <si>
    <t>Technical Balance</t>
  </si>
  <si>
    <t>Ph Meter conductimeter</t>
  </si>
  <si>
    <t>Chemical reagent module</t>
  </si>
  <si>
    <t>Glassware and supplies module</t>
  </si>
  <si>
    <t>Computing module</t>
  </si>
  <si>
    <t>GCF. Strengthening of municipal agroforestry nurseries administered by the base business units.</t>
  </si>
  <si>
    <t>Motocycle 125cc</t>
  </si>
  <si>
    <t>Computer desk</t>
  </si>
  <si>
    <t>Secretary chair without upholstered arms</t>
  </si>
  <si>
    <t>Wall or table fan</t>
  </si>
  <si>
    <t>Laptop</t>
  </si>
  <si>
    <t>Intel Core i5 4570 3.3 GHz PC</t>
  </si>
  <si>
    <t>External hard drive</t>
  </si>
  <si>
    <t>Flash Memory</t>
  </si>
  <si>
    <t>Lasser multifunction printer</t>
  </si>
  <si>
    <t>Digital camera</t>
  </si>
  <si>
    <t>Video projector</t>
  </si>
  <si>
    <t>Folding projection screen</t>
  </si>
  <si>
    <t>Ordination Module</t>
  </si>
  <si>
    <t xml:space="preserve">Technified tube like nursery. </t>
  </si>
  <si>
    <r>
      <rPr>
        <b/>
        <sz val="11"/>
        <color rgb="FF000000"/>
        <rFont val="Calibri"/>
        <family val="2"/>
        <scheme val="minor"/>
      </rPr>
      <t xml:space="preserve">GCF. </t>
    </r>
    <r>
      <rPr>
        <sz val="11"/>
        <color rgb="FF000000"/>
        <rFont val="Calibri"/>
        <family val="2"/>
        <scheme val="minor"/>
      </rPr>
      <t xml:space="preserve">Creation or improvement of working conditions for the incorporation of women into the agricultural work of the modules to be implemented. (Gender differentiated toilets will be created, and the conditions of existing toilets will be improved) </t>
    </r>
  </si>
  <si>
    <t>Improve conditions of existing toilets or creation of gender differentiated toilets</t>
  </si>
  <si>
    <t>Lump sum</t>
  </si>
  <si>
    <r>
      <rPr>
        <b/>
        <sz val="11"/>
        <color rgb="FF000000"/>
        <rFont val="Calibri"/>
        <family val="2"/>
        <scheme val="minor"/>
      </rPr>
      <t xml:space="preserve">GCF. </t>
    </r>
    <r>
      <rPr>
        <sz val="11"/>
        <color rgb="FF000000"/>
        <rFont val="Calibri"/>
        <family val="2"/>
        <scheme val="minor"/>
      </rPr>
      <t xml:space="preserve">Training - Development of training material of low impact technologies that have been successfully pilot tested under Cuban or similar conditions and will be applied at scale. </t>
    </r>
  </si>
  <si>
    <t>Development of training material year 1</t>
  </si>
  <si>
    <t>Development of training material year 2</t>
  </si>
  <si>
    <t>Development of training material year 3</t>
  </si>
  <si>
    <r>
      <rPr>
        <b/>
        <sz val="11"/>
        <color rgb="FF000000"/>
        <rFont val="Calibri"/>
        <family val="2"/>
        <scheme val="minor"/>
      </rPr>
      <t xml:space="preserve">GCF. </t>
    </r>
    <r>
      <rPr>
        <sz val="11"/>
        <color rgb="FF000000"/>
        <rFont val="Calibri"/>
        <family val="2"/>
        <scheme val="minor"/>
      </rPr>
      <t>Training - Development of training material for operations and maintenance of machinery that will be used on on implementation of agroforestry and forestry modules of the project.</t>
    </r>
  </si>
  <si>
    <t>Development of training material</t>
  </si>
  <si>
    <r>
      <rPr>
        <b/>
        <sz val="11"/>
        <color rgb="FF000000"/>
        <rFont val="Calibri"/>
        <family val="2"/>
        <scheme val="minor"/>
      </rPr>
      <t xml:space="preserve">GCF. </t>
    </r>
    <r>
      <rPr>
        <sz val="11"/>
        <color rgb="FF000000"/>
        <rFont val="Calibri"/>
        <family val="2"/>
        <scheme val="minor"/>
      </rPr>
      <t>Training - Workshops for the training of 35 machinery operators, on the maintenance and use of machinery and equipment that will be used in the project.</t>
    </r>
  </si>
  <si>
    <t>Workshops of operations and maintenance of machinery and equipment, year 1</t>
  </si>
  <si>
    <t>Workshop</t>
  </si>
  <si>
    <t>Workshops of operations and maintenance of machinery and equipment, year 2</t>
  </si>
  <si>
    <r>
      <rPr>
        <b/>
        <sz val="11"/>
        <color rgb="FF000000"/>
        <rFont val="Calibri"/>
        <family val="2"/>
        <scheme val="minor"/>
      </rPr>
      <t xml:space="preserve">CUBA-FONADEF. </t>
    </r>
    <r>
      <rPr>
        <sz val="11"/>
        <color rgb="FF000000"/>
        <rFont val="Calibri"/>
        <family val="2"/>
        <scheme val="minor"/>
      </rPr>
      <t xml:space="preserve">Labor cost of the Ministry of Agriculture of CUBA (MINAG) and the National Forest Development Fund (FONADEF) in workers and technicians who will support the activities for the clearing of land invaded by Dychostachys cinerea (marabú) and land preparation of agroforestry modules of the project. </t>
    </r>
  </si>
  <si>
    <t>Cost of labor corresponding to workers</t>
  </si>
  <si>
    <t>Month</t>
  </si>
  <si>
    <t>Cost of labor corresponding to Technicians</t>
  </si>
  <si>
    <t>Cost of labor corresponding to Administrative</t>
  </si>
  <si>
    <t>Cost of labor corresponding to service personnel</t>
  </si>
  <si>
    <t>Cost of labor corresponding to executives</t>
  </si>
  <si>
    <t>GCF. Cost of construction of 452 excavated reservoir of diferent capacity, and 896 drip irrigation system with electric pumping unit.</t>
  </si>
  <si>
    <t>Construction of 152 excavated reservoir with capacity of 3,675 m3</t>
  </si>
  <si>
    <t>Cost of construction of 300 excavated reservoir with capacity of 4,900 m3</t>
  </si>
  <si>
    <t>Drip irrigation system de 6.0. ha.</t>
  </si>
  <si>
    <t>Drip irrigation system de 1.0. ha.</t>
  </si>
  <si>
    <t>Pumping equipment for irrigation system  de 6.0. ha.</t>
  </si>
  <si>
    <t>Pumping equipment for irrigation system de 1.0 ha.</t>
  </si>
  <si>
    <r>
      <rPr>
        <b/>
        <sz val="11"/>
        <color rgb="FF000000"/>
        <rFont val="Calibri"/>
        <family val="2"/>
        <scheme val="minor"/>
      </rPr>
      <t xml:space="preserve">CUBA-FONADEF. </t>
    </r>
    <r>
      <rPr>
        <sz val="11"/>
        <color rgb="FF000000"/>
        <rFont val="Calibri"/>
        <family val="2"/>
        <scheme val="minor"/>
      </rPr>
      <t xml:space="preserve">Inputs. Acquisition of inputs to be used during the phases of establishment, cultural work (control of weeds, pests and diseases and plant nutrition) for the development of the species that make up the agroforestry arrangement of the different modules to be implemented.
</t>
    </r>
  </si>
  <si>
    <t>Vegetative material for agroforestery modules</t>
  </si>
  <si>
    <t>Seeds and seedlings</t>
  </si>
  <si>
    <t>Organic matter for agroforestry modules</t>
  </si>
  <si>
    <t>Biofertilizers for Agroforestry modules</t>
  </si>
  <si>
    <t>Kilogram</t>
  </si>
  <si>
    <r>
      <rPr>
        <b/>
        <sz val="11"/>
        <color rgb="FF000000"/>
        <rFont val="Calibri"/>
        <family val="2"/>
        <scheme val="minor"/>
      </rPr>
      <t xml:space="preserve">CUBA-FONADEF. </t>
    </r>
    <r>
      <rPr>
        <sz val="11"/>
        <color rgb="FF000000"/>
        <rFont val="Calibri"/>
        <family val="2"/>
        <scheme val="minor"/>
      </rPr>
      <t>Labor cost of the Ministry of Agriculture of CUBA (MINAG) and the National Forest Development Fund (FONADEF) in workers and technicians who will support during a period of 7 years, the activities in each one of the phases of the phenological development of the species that form the agroforestry arrangement of the different modules; which includes the clearing of land (if the area is invaded by Dychostachys cinerea (marabú), support for land preparation, establishment, cultural work and harvesting (when it refers to annual and semi-permanent agricultural cycle species).</t>
    </r>
  </si>
  <si>
    <t xml:space="preserve">CUBA-FONADEF. Implementation of operations and maintenance program of marabu and agroforestry technologies </t>
  </si>
  <si>
    <t>Operations and maintenance cost</t>
  </si>
  <si>
    <r>
      <rPr>
        <b/>
        <sz val="11"/>
        <color rgb="FF000000"/>
        <rFont val="Calibri"/>
        <family val="2"/>
        <scheme val="minor"/>
      </rPr>
      <t xml:space="preserve">CUBA-FONADEF. </t>
    </r>
    <r>
      <rPr>
        <sz val="11"/>
        <color rgb="FF000000"/>
        <rFont val="Calibri"/>
        <family val="2"/>
        <scheme val="minor"/>
      </rPr>
      <t>Contract twelve specialists (four per province) to work in soil laboratories and ensure an efficient and quality service.</t>
    </r>
  </si>
  <si>
    <t>Soil laboratory specialists</t>
  </si>
  <si>
    <r>
      <rPr>
        <b/>
        <sz val="11"/>
        <color rgb="FF000000"/>
        <rFont val="Calibri"/>
        <family val="2"/>
        <scheme val="minor"/>
      </rPr>
      <t>GCF. P</t>
    </r>
    <r>
      <rPr>
        <sz val="11"/>
        <color rgb="FF000000"/>
        <rFont val="Calibri"/>
        <family val="2"/>
        <scheme val="minor"/>
      </rPr>
      <t>urchase and distribution of technology and equipment that will be used to establish two modules for sylvopastoral systems adapted to climate change.</t>
    </r>
  </si>
  <si>
    <t>equipment</t>
  </si>
  <si>
    <t xml:space="preserve">additional equipment and tools </t>
  </si>
  <si>
    <t xml:space="preserve">Chop forage </t>
  </si>
  <si>
    <t>Silo harvester</t>
  </si>
  <si>
    <t>Hay baler</t>
  </si>
  <si>
    <t>Hand tillage implements</t>
  </si>
  <si>
    <t>Manual crusher with set of cutting discs</t>
  </si>
  <si>
    <t>Backpack sprayer with 20-25-liter gasoline engine</t>
  </si>
  <si>
    <t>20-25-liter backpack sprinkler</t>
  </si>
  <si>
    <t>Manual Brush cutter</t>
  </si>
  <si>
    <t>Technology for livestock management</t>
  </si>
  <si>
    <t>Mechanical milking equipment</t>
  </si>
  <si>
    <t>Milk tank with a capacity of 1000 liters</t>
  </si>
  <si>
    <t>GCF. Implementation of operations and maintenance program of technology and equipment used in the two sylvopastoral modules of the project</t>
  </si>
  <si>
    <t>Costs of operations and maintenance program of implements assigned and managed by the productive forms benefiting from the project</t>
  </si>
  <si>
    <r>
      <rPr>
        <b/>
        <sz val="11"/>
        <color rgb="FF000000"/>
        <rFont val="Calibri"/>
        <family val="2"/>
        <scheme val="minor"/>
      </rPr>
      <t xml:space="preserve">GCF. </t>
    </r>
    <r>
      <rPr>
        <sz val="11"/>
        <color rgb="FF000000"/>
        <rFont val="Calibri"/>
        <family val="2"/>
        <scheme val="minor"/>
      </rPr>
      <t>Inputs. Acquisition of inputs for the use in the establishment, management and grazing or forage cutting phase for the feeding of bovine cattle destined to the production of milk and meat.</t>
    </r>
  </si>
  <si>
    <t>Food supplements for livestock</t>
  </si>
  <si>
    <t xml:space="preserve">Fuel and lubricants for agroforestry modules. </t>
  </si>
  <si>
    <t>Liters</t>
  </si>
  <si>
    <r>
      <rPr>
        <b/>
        <sz val="11"/>
        <color rgb="FF000000"/>
        <rFont val="Calibri"/>
        <family val="2"/>
        <scheme val="minor"/>
      </rPr>
      <t xml:space="preserve">GCF. </t>
    </r>
    <r>
      <rPr>
        <sz val="11"/>
        <color rgb="FF000000"/>
        <rFont val="Calibri"/>
        <family val="2"/>
        <scheme val="minor"/>
      </rPr>
      <t>Sequence of instalation and arrangement of the perimeter fences internal.</t>
    </r>
  </si>
  <si>
    <t>Electric fences with solar panels for the sylvopastoral module No. 5: SILLEC</t>
  </si>
  <si>
    <t>Electric fences with solar panels for the sylvopastoral module No. 6: SILSOM</t>
  </si>
  <si>
    <r>
      <rPr>
        <b/>
        <sz val="11"/>
        <color rgb="FF000000"/>
        <rFont val="Calibri"/>
        <family val="2"/>
        <scheme val="minor"/>
      </rPr>
      <t xml:space="preserve">GCF. </t>
    </r>
    <r>
      <rPr>
        <sz val="11"/>
        <color rgb="FF000000"/>
        <rFont val="Calibri"/>
        <family val="2"/>
        <scheme val="minor"/>
      </rPr>
      <t>Acquisition of synthetic fertilizer (NPK) to be used in the phases of establishment and development of of the sylvopastoral modules to be implemented on the project.</t>
    </r>
  </si>
  <si>
    <t>Synthetic fertilizer (NPK) for module No. 6: SILSOM</t>
  </si>
  <si>
    <r>
      <rPr>
        <b/>
        <sz val="11"/>
        <color rgb="FF000000"/>
        <rFont val="Calibri"/>
        <family val="2"/>
        <scheme val="minor"/>
      </rPr>
      <t xml:space="preserve">GCF. </t>
    </r>
    <r>
      <rPr>
        <sz val="11"/>
        <color rgb="FF000000"/>
        <rFont val="Calibri"/>
        <family val="2"/>
        <scheme val="minor"/>
      </rPr>
      <t xml:space="preserve">Installation of biodigesters associated with the dairies that are part of the livestock systems with silvopastoralism and from other residuals (this facilitates the cooking of food, humanizes the process and allows them to save time to dedicate to other activities of their interest). </t>
    </r>
  </si>
  <si>
    <t>Installation of biodigesters</t>
  </si>
  <si>
    <t>GCF. Training - Development of training material for the implementation of the two modules for sylvopastoral systems adapted to climate change.</t>
  </si>
  <si>
    <r>
      <rPr>
        <b/>
        <sz val="11"/>
        <color rgb="FF000000"/>
        <rFont val="Calibri"/>
        <family val="2"/>
        <scheme val="minor"/>
      </rPr>
      <t xml:space="preserve">GCF. </t>
    </r>
    <r>
      <rPr>
        <sz val="11"/>
        <color rgb="FF000000"/>
        <rFont val="Calibri"/>
        <family val="2"/>
        <scheme val="minor"/>
      </rPr>
      <t>Training - Development of training material for operations and maintenance of machinery that will be used on implementation of the two modules for sylvopastoral systems adapted to climate change of the project.</t>
    </r>
  </si>
  <si>
    <r>
      <rPr>
        <b/>
        <sz val="11"/>
        <color rgb="FF000000"/>
        <rFont val="Calibri"/>
        <family val="2"/>
        <scheme val="minor"/>
      </rPr>
      <t xml:space="preserve">GCF. </t>
    </r>
    <r>
      <rPr>
        <sz val="11"/>
        <color rgb="FF000000"/>
        <rFont val="Calibri"/>
        <family val="2"/>
        <scheme val="minor"/>
      </rPr>
      <t>Training - Workshops for the training of 35 machinery operators, on the maintenance and use of machinery and equipment that will be used on the sylvopastoral modules of the project, to improve 9,080 hectares of compacted soils.</t>
    </r>
  </si>
  <si>
    <r>
      <rPr>
        <b/>
        <sz val="11"/>
        <color rgb="FF000000"/>
        <rFont val="Calibri"/>
        <family val="2"/>
        <scheme val="minor"/>
      </rPr>
      <t xml:space="preserve">CUBA-FONADEF. </t>
    </r>
    <r>
      <rPr>
        <sz val="11"/>
        <color rgb="FF000000"/>
        <rFont val="Calibri"/>
        <family val="2"/>
        <scheme val="minor"/>
      </rPr>
      <t>Labor cost of the Ministry of Agriculture of CUBA (MINAG) and the National Forest Development Fund (FONADEF) in workers and technicians who will support the activities for the for the land preparation and  implement sub-soiling of compacted hectarage for the sylvopastoral modules of the project.</t>
    </r>
  </si>
  <si>
    <t>GCF. Cost of construction of 11,362 small-scale water security systems (storage and livestock drinking facilities)</t>
  </si>
  <si>
    <t>Cost of construction of 700 excavated reservoir with capacity of 63 m3</t>
  </si>
  <si>
    <t>Instalation of 11,362 Plastic drinker with 500 liter buoy, includes pipe</t>
  </si>
  <si>
    <t>5.5 HP bailer motor pump, with drinking pipe for drinking</t>
  </si>
  <si>
    <r>
      <rPr>
        <b/>
        <sz val="11"/>
        <color rgb="FF000000"/>
        <rFont val="Calibri"/>
        <family val="2"/>
        <scheme val="minor"/>
      </rPr>
      <t xml:space="preserve">CUBA-FONADEF. </t>
    </r>
    <r>
      <rPr>
        <sz val="11"/>
        <color rgb="FF000000"/>
        <rFont val="Calibri"/>
        <family val="2"/>
        <scheme val="minor"/>
      </rPr>
      <t>Inputs. Acquisition of inputs for the use in the establishment, management and grazing or forage cutting phase for the feeding of bovine cattle destined to the production of milk and meat.</t>
    </r>
  </si>
  <si>
    <t>Vegetative material for silvopastoral modules</t>
  </si>
  <si>
    <t>CUBA-FONADEF. Implementation of operations and maintenance program of of technology and equipment used in the two sylvopastoral modules of the project.</t>
  </si>
  <si>
    <r>
      <rPr>
        <b/>
        <sz val="11"/>
        <color rgb="FF000000"/>
        <rFont val="Calibri"/>
        <family val="2"/>
        <scheme val="minor"/>
      </rPr>
      <t xml:space="preserve">GCF. </t>
    </r>
    <r>
      <rPr>
        <sz val="11"/>
        <color rgb="FF000000"/>
        <rFont val="Calibri"/>
        <family val="2"/>
        <scheme val="minor"/>
      </rPr>
      <t>Training - Development of training material on various topics that may include: no-till cultivation, inter-cropping, cut-and-carry forage feeding, sub-soiling, soil conservation with gabions, gully plugs, bunds, contour farming, agroforestry and sylvopastoral system design, application of efficient irrigation technologies and water harvesting and storage systems and others.</t>
    </r>
  </si>
  <si>
    <t>Development of training material year 4</t>
  </si>
  <si>
    <t>Development of training material year 5</t>
  </si>
  <si>
    <t>Development of training material year 6</t>
  </si>
  <si>
    <r>
      <rPr>
        <b/>
        <sz val="11"/>
        <color rgb="FF000000"/>
        <rFont val="Calibri"/>
        <family val="2"/>
        <scheme val="minor"/>
      </rPr>
      <t xml:space="preserve">GCF. </t>
    </r>
    <r>
      <rPr>
        <sz val="11"/>
        <color rgb="FF000000"/>
        <rFont val="Calibri"/>
        <family val="2"/>
        <scheme val="minor"/>
      </rPr>
      <t xml:space="preserve">Training - Workshops for the training of 450 extension service technicians, agricultural technicians, and cooperative leaders/administrators </t>
    </r>
  </si>
  <si>
    <t>Workshops, year 1</t>
  </si>
  <si>
    <t>Workshops, year 2</t>
  </si>
  <si>
    <r>
      <rPr>
        <b/>
        <sz val="11"/>
        <color rgb="FF000000"/>
        <rFont val="Calibri"/>
        <family val="2"/>
        <scheme val="minor"/>
      </rPr>
      <t xml:space="preserve">GCF. </t>
    </r>
    <r>
      <rPr>
        <sz val="11"/>
        <color rgb="FF000000"/>
        <rFont val="Calibri"/>
        <family val="2"/>
        <scheme val="minor"/>
      </rPr>
      <t>Training - Development of learning materials and information on climate change, ecosystem function and services, agroecology, agroforestry and forestry systems, and farm economics;</t>
    </r>
  </si>
  <si>
    <t>Learning material and information on various topics, year 1</t>
  </si>
  <si>
    <t>Learning material and information on various topics, year 2</t>
  </si>
  <si>
    <r>
      <rPr>
        <b/>
        <sz val="11"/>
        <color rgb="FF000000"/>
        <rFont val="Calibri"/>
        <family val="2"/>
        <scheme val="minor"/>
      </rPr>
      <t xml:space="preserve">GCF. </t>
    </r>
    <r>
      <rPr>
        <sz val="11"/>
        <color rgb="FF000000"/>
        <rFont val="Calibri"/>
        <family val="2"/>
        <scheme val="minor"/>
      </rPr>
      <t>Training - Establish or strengthen farmer Field Schools</t>
    </r>
  </si>
  <si>
    <t>Farmer field schools, year 1</t>
  </si>
  <si>
    <t>Farmer field schools, year 2</t>
  </si>
  <si>
    <r>
      <rPr>
        <b/>
        <sz val="11"/>
        <color rgb="FF000000"/>
        <rFont val="Calibri"/>
        <family val="2"/>
        <scheme val="minor"/>
      </rPr>
      <t xml:space="preserve">GCF. </t>
    </r>
    <r>
      <rPr>
        <sz val="11"/>
        <color rgb="FF000000"/>
        <rFont val="Calibri"/>
        <family val="2"/>
        <scheme val="minor"/>
      </rPr>
      <t>Gender diagnosis and reports of results of the implementation of the gender action plan action plan.</t>
    </r>
  </si>
  <si>
    <t>Report of gender diagnosis and reviewed gender action plan.</t>
  </si>
  <si>
    <t>Mid-term and completion report including the gender diagnosis and the results of the implementation of the gender action plan  (indicators, methodologies, work teams, budget, communication and evaluation)</t>
  </si>
  <si>
    <t>Workshops defined on gender or that include the topic transversally in the technical topics</t>
  </si>
  <si>
    <r>
      <rPr>
        <b/>
        <sz val="11"/>
        <color rgb="FF000000"/>
        <rFont val="Calibri"/>
        <family val="2"/>
        <scheme val="minor"/>
      </rPr>
      <t xml:space="preserve">GCF. </t>
    </r>
    <r>
      <rPr>
        <sz val="11"/>
        <color rgb="FF000000"/>
        <rFont val="Calibri"/>
        <family val="2"/>
        <scheme val="minor"/>
      </rPr>
      <t>Carry out a women`s leadership training workshop to promote women's exercise of leadership, taking into account their knowledge, skills and experiences, to meet their basic and strategic needs.</t>
    </r>
  </si>
  <si>
    <t>Women`s leadership training workshop report</t>
  </si>
  <si>
    <t>GCF. Monitoring professional / contractual services.</t>
  </si>
  <si>
    <t>Contract: Baseline.</t>
  </si>
  <si>
    <r>
      <rPr>
        <b/>
        <sz val="11"/>
        <color rgb="FF000000"/>
        <rFont val="Calibri"/>
        <family val="2"/>
        <scheme val="minor"/>
      </rPr>
      <t xml:space="preserve">GCF. </t>
    </r>
    <r>
      <rPr>
        <sz val="11"/>
        <color rgb="FF000000"/>
        <rFont val="Calibri"/>
        <family val="2"/>
        <scheme val="minor"/>
      </rPr>
      <t>Training - Implementation of 17 Farmer Field Schools and training of 15,549 farmers.</t>
    </r>
  </si>
  <si>
    <t xml:space="preserve"> Workshops and technical sessions, exchanges year 1</t>
  </si>
  <si>
    <t xml:space="preserve"> Workshops and technical sessions, exchanges year 2</t>
  </si>
  <si>
    <t xml:space="preserve"> Workshops and technical sessions, exchanges year 3</t>
  </si>
  <si>
    <t xml:space="preserve"> Workshops and technical sessions, exchanges year 4</t>
  </si>
  <si>
    <t xml:space="preserve"> Workshops and technical sessions, exchanges year 5</t>
  </si>
  <si>
    <t xml:space="preserve"> Workshops and technical sessions, exchanges year 6</t>
  </si>
  <si>
    <t xml:space="preserve"> Workshops and technical sessions, exchanges year 7</t>
  </si>
  <si>
    <t>GCF. Training. Support to project extension team</t>
  </si>
  <si>
    <t>Participation in international conferences</t>
  </si>
  <si>
    <t>Participation in National Conferences</t>
  </si>
  <si>
    <t>External training</t>
  </si>
  <si>
    <t>Office and extension materials (flipchart, markers, etc.)</t>
  </si>
  <si>
    <t>Field equipment (boots, backpack, cape, fridge)</t>
  </si>
  <si>
    <t>South-South Exchange (includes beneficiaries)</t>
  </si>
  <si>
    <r>
      <rPr>
        <b/>
        <sz val="11"/>
        <color rgb="FF000000"/>
        <rFont val="Calibri"/>
        <family val="2"/>
        <scheme val="minor"/>
      </rPr>
      <t xml:space="preserve">GCF. </t>
    </r>
    <r>
      <rPr>
        <sz val="11"/>
        <color rgb="FF000000"/>
        <rFont val="Calibri"/>
        <family val="2"/>
        <scheme val="minor"/>
      </rPr>
      <t>Training - Workshops and courses for capacity development, in conjunction with the activities of Component 1, will lead to a number of permanent jobs being created, with a particular emphasis placed on creating opportunities for women and youth. Direct interventions for young people are expected to reduce out-migration of this group to urban areas, thereby decreasing the vulnerability of older populations with regards to climate change and food security.</t>
    </r>
  </si>
  <si>
    <t xml:space="preserve"> Workshops and courses year 1</t>
  </si>
  <si>
    <t xml:space="preserve"> Workshops and courses year 2</t>
  </si>
  <si>
    <t xml:space="preserve"> Workshops and courses year 3</t>
  </si>
  <si>
    <t xml:space="preserve"> Workshops and courses year 4</t>
  </si>
  <si>
    <t xml:space="preserve"> Workshops and courses year 5</t>
  </si>
  <si>
    <t xml:space="preserve"> Workshops and courses year 6</t>
  </si>
  <si>
    <r>
      <rPr>
        <b/>
        <sz val="11"/>
        <color rgb="FF000000"/>
        <rFont val="Calibri"/>
        <family val="2"/>
        <scheme val="minor"/>
      </rPr>
      <t xml:space="preserve">GCF. </t>
    </r>
    <r>
      <rPr>
        <sz val="11"/>
        <color rgb="FF000000"/>
        <rFont val="Calibri"/>
        <family val="2"/>
        <scheme val="minor"/>
      </rPr>
      <t>Training - 10 workshops and expertise (three international and national experts) to facilitate inter-institutional analyses and discussions regarding needs and options for the modification of regulatory, policy and planning instruments.</t>
    </r>
  </si>
  <si>
    <r>
      <rPr>
        <b/>
        <sz val="11"/>
        <color rgb="FF000000"/>
        <rFont val="Calibri"/>
        <family val="2"/>
        <scheme val="minor"/>
      </rPr>
      <t xml:space="preserve">GCF. </t>
    </r>
    <r>
      <rPr>
        <sz val="11"/>
        <color rgb="FF000000"/>
        <rFont val="Calibri"/>
        <family val="2"/>
        <scheme val="minor"/>
      </rPr>
      <t>Program of environmental and social safeguards</t>
    </r>
  </si>
  <si>
    <t>Elaboration of the updated Plan of Socio-environmental Commitments of the Project</t>
  </si>
  <si>
    <t>Socio-environmental assessment and drafting of documentation related to safeguards for compliance</t>
  </si>
  <si>
    <t>Training of project personnel on safeguards</t>
  </si>
  <si>
    <t>Training for the preparation of socio-environmental management plans of the selected entities</t>
  </si>
  <si>
    <t>Training to extension agents, technicians and leading producers in topics such as management of invasive alien species, pesticide management, forests, water, soils and use of climate information</t>
  </si>
  <si>
    <t>Training for producers on topics such as management of invasive alien species, management of pesticides, forests, water, soils and the use of climate information.</t>
  </si>
  <si>
    <t>Preparation of subprogram monitoring and verification socio-environmental</t>
  </si>
  <si>
    <t>Implementation of the socio-environmental monitoring and verification subprogram</t>
  </si>
  <si>
    <t>Environmental monitoring and verification reports</t>
  </si>
  <si>
    <t>Municipal characterization and consultation process at the local, municipal, and central levels, among others.</t>
  </si>
  <si>
    <t>Plans of management of exotic species of the municipalities with cooperatives that develop the silvopastoral modules</t>
  </si>
  <si>
    <t>Preparation and implementation of the Early Warning System</t>
  </si>
  <si>
    <t>Preparation and implementation of a Pest Management Plan</t>
  </si>
  <si>
    <t>Preparation and implementation of pesticide management plans</t>
  </si>
  <si>
    <r>
      <rPr>
        <b/>
        <sz val="11"/>
        <color rgb="FF000000"/>
        <rFont val="Calibri"/>
        <family val="2"/>
        <scheme val="minor"/>
      </rPr>
      <t xml:space="preserve">GCF. </t>
    </r>
    <r>
      <rPr>
        <sz val="11"/>
        <color rgb="FF000000"/>
        <rFont val="Calibri"/>
        <family val="2"/>
        <scheme val="minor"/>
      </rPr>
      <t>International consultancies for the formulation of proposals for reforms of policy, regulatory, planning instruments</t>
    </r>
  </si>
  <si>
    <t>Consultancies, Year 2</t>
  </si>
  <si>
    <t>Consultancies, Year 3</t>
  </si>
  <si>
    <t>Consultancies, Year 4</t>
  </si>
  <si>
    <t>Consultancies, Year 5</t>
  </si>
  <si>
    <t>Day</t>
  </si>
  <si>
    <r>
      <rPr>
        <b/>
        <sz val="11"/>
        <color rgb="FF000000"/>
        <rFont val="Calibri"/>
        <family val="2"/>
        <scheme val="minor"/>
      </rPr>
      <t xml:space="preserve">GCF. </t>
    </r>
    <r>
      <rPr>
        <sz val="11"/>
        <color rgb="FF000000"/>
        <rFont val="Calibri"/>
        <family val="2"/>
        <scheme val="minor"/>
      </rPr>
      <t>International consultancies for the analyses of existing funds and formulation of proposals</t>
    </r>
  </si>
  <si>
    <t>Consultancies, Year 1</t>
  </si>
  <si>
    <t>3Consultancies, Year 3</t>
  </si>
  <si>
    <r>
      <rPr>
        <b/>
        <sz val="11"/>
        <color rgb="FF000000"/>
        <rFont val="Calibri"/>
        <family val="2"/>
        <scheme val="minor"/>
      </rPr>
      <t xml:space="preserve">GCF. Training. </t>
    </r>
    <r>
      <rPr>
        <sz val="11"/>
        <color rgb="FF000000"/>
        <rFont val="Calibri"/>
        <family val="2"/>
        <scheme val="minor"/>
      </rPr>
      <t>Workshops  to analyze and develop policies and mechanisms regarding financial mechanisms and economic instruments</t>
    </r>
  </si>
  <si>
    <t>Workshops, Year 1</t>
  </si>
  <si>
    <t>Workshops, Year 2</t>
  </si>
  <si>
    <t>Workshops, Year 3</t>
  </si>
  <si>
    <t>Workshops, Year 4</t>
  </si>
  <si>
    <t>GCF. Consultancies for the design of a landscape resilience fund.</t>
  </si>
  <si>
    <t>Extension workers (time in months) (12 at provincial level)</t>
  </si>
  <si>
    <t>Subsistence allowance per day</t>
  </si>
  <si>
    <t xml:space="preserve"> Workshops at the municipal level</t>
  </si>
  <si>
    <t>GCF - Design and implementation of a gender-sensitive communication and dissemination program or strategy.</t>
  </si>
  <si>
    <t>Design a gender-sensitive internal and external communication plan for the project</t>
  </si>
  <si>
    <t>Mid-term report including the results of the implementation of the gender action plan, including the gender sensitive communication and dissemination program or strategy</t>
  </si>
  <si>
    <t>Completion report including the results of the implementation of the gender action plan, including the gender sensitive communication and dissemination program or strategy</t>
  </si>
  <si>
    <t>GCF -  Elaboration and implementation of gender action plans at the level of each beneficiary entity that take into account the basic and strategic needs, knowledge and skills of the communities, especially women.</t>
  </si>
  <si>
    <t>One Gender Action Plan document for each benefited entity in the 2 zones.</t>
  </si>
  <si>
    <t>Mid-term and 1 completion report including 1 Gender Action Plan implemented for each benefited entity in the 2 zones.</t>
  </si>
  <si>
    <t>GCF -  Identification of a map of key actors working on gender in each zone to establish strategic alliances and joint actions.</t>
  </si>
  <si>
    <t>Mapping of key actors report  with recommendations for the gender action plan for each zone</t>
  </si>
  <si>
    <r>
      <rPr>
        <b/>
        <sz val="11"/>
        <color rgb="FF000000"/>
        <rFont val="Calibri"/>
        <family val="2"/>
        <scheme val="minor"/>
      </rPr>
      <t xml:space="preserve">GCF. Training. </t>
    </r>
    <r>
      <rPr>
        <sz val="11"/>
        <color rgb="FF000000"/>
        <rFont val="Calibri"/>
        <family val="2"/>
        <scheme val="minor"/>
      </rPr>
      <t xml:space="preserve">Workshops to train key organizations in the seven target municipalities to participate effectively and collaboratively in planning and decision-making processes that determine the management of the target landscapes to enhance their climate resilience.  </t>
    </r>
  </si>
  <si>
    <t>Workshops, Year 5</t>
  </si>
  <si>
    <t>Workshops, Year 6</t>
  </si>
  <si>
    <t>Workshops, Year 7</t>
  </si>
  <si>
    <r>
      <rPr>
        <b/>
        <sz val="11"/>
        <color rgb="FF000000"/>
        <rFont val="Calibri"/>
        <family val="2"/>
        <scheme val="minor"/>
      </rPr>
      <t xml:space="preserve">GCF. Training. </t>
    </r>
    <r>
      <rPr>
        <sz val="11"/>
        <color rgb="FF000000"/>
        <rFont val="Calibri"/>
        <family val="2"/>
        <scheme val="minor"/>
      </rPr>
      <t>Workshops to train  representatives of local organizations  in local planning/decision making processes</t>
    </r>
  </si>
  <si>
    <r>
      <rPr>
        <b/>
        <sz val="11"/>
        <color rgb="FF000000"/>
        <rFont val="Calibri"/>
        <family val="2"/>
        <scheme val="minor"/>
      </rPr>
      <t xml:space="preserve">GCF. Training. </t>
    </r>
    <r>
      <rPr>
        <sz val="11"/>
        <color rgb="FF000000"/>
        <rFont val="Calibri"/>
        <family val="2"/>
        <scheme val="minor"/>
      </rPr>
      <t>Workshops for existing landscape planning instruments integrate climate adaptation and mitigation principles and considerations</t>
    </r>
  </si>
  <si>
    <r>
      <rPr>
        <b/>
        <sz val="11"/>
        <color rgb="FF000000"/>
        <rFont val="Calibri"/>
        <family val="2"/>
        <scheme val="minor"/>
      </rPr>
      <t xml:space="preserve">GCF. Training. </t>
    </r>
    <r>
      <rPr>
        <sz val="11"/>
        <color rgb="FF000000"/>
        <rFont val="Calibri"/>
        <family val="2"/>
        <scheme val="minor"/>
      </rPr>
      <t>Workshops for local institutional staff, trained to produce and negotiate agreements for governance of landscape resources</t>
    </r>
  </si>
  <si>
    <r>
      <rPr>
        <b/>
        <sz val="11"/>
        <color rgb="FF000000"/>
        <rFont val="Calibri"/>
        <family val="2"/>
        <scheme val="minor"/>
      </rPr>
      <t xml:space="preserve">GCF. </t>
    </r>
    <r>
      <rPr>
        <sz val="11"/>
        <color rgb="FF000000"/>
        <rFont val="Calibri"/>
        <family val="2"/>
        <scheme val="minor"/>
      </rPr>
      <t>Project Management Unit. Local Consultants.</t>
    </r>
  </si>
  <si>
    <t>National Operations Officer</t>
  </si>
  <si>
    <t>Technical Sub-Coordinator</t>
  </si>
  <si>
    <t>Training and Extension Assistant</t>
  </si>
  <si>
    <t>National Monitoring and evaluation specialist</t>
  </si>
  <si>
    <t>Economic and Financial Assistant</t>
  </si>
  <si>
    <t>Logistics and human resources assistant</t>
  </si>
  <si>
    <t>Communications and Gender Assistant</t>
  </si>
  <si>
    <r>
      <rPr>
        <b/>
        <sz val="11"/>
        <color rgb="FF000000"/>
        <rFont val="Calibri"/>
        <family val="2"/>
        <scheme val="minor"/>
      </rPr>
      <t xml:space="preserve">GCF. </t>
    </r>
    <r>
      <rPr>
        <sz val="11"/>
        <color rgb="FF000000"/>
        <rFont val="Calibri"/>
        <family val="2"/>
        <scheme val="minor"/>
      </rPr>
      <t>Project Management Unit. International Consultants.</t>
    </r>
  </si>
  <si>
    <t>Procurement Officer / Purchasing Officer</t>
  </si>
  <si>
    <r>
      <rPr>
        <b/>
        <sz val="11"/>
        <color rgb="FF000000"/>
        <rFont val="Calibri"/>
        <family val="2"/>
        <scheme val="minor"/>
      </rPr>
      <t xml:space="preserve">GCF. </t>
    </r>
    <r>
      <rPr>
        <sz val="11"/>
        <color rgb="FF000000"/>
        <rFont val="Calibri"/>
        <family val="2"/>
        <scheme val="minor"/>
      </rPr>
      <t>Project Management Unit. Office maintenance (General services, utilities, etc.). Support unit and financial management of the project.</t>
    </r>
  </si>
  <si>
    <t>Telephone and internet service</t>
  </si>
  <si>
    <t>Electricity service</t>
  </si>
  <si>
    <t>Water service</t>
  </si>
  <si>
    <t>Transportation</t>
  </si>
  <si>
    <t>Contracts: Geographical Information System</t>
  </si>
  <si>
    <t>Travel (lumpsum)+ DSA</t>
  </si>
  <si>
    <r>
      <rPr>
        <b/>
        <sz val="11"/>
        <color rgb="FF000000"/>
        <rFont val="Calibri"/>
        <family val="2"/>
        <scheme val="minor"/>
      </rPr>
      <t xml:space="preserve">GCF. </t>
    </r>
    <r>
      <rPr>
        <sz val="11"/>
        <color rgb="FF000000"/>
        <rFont val="Calibri"/>
        <family val="2"/>
        <scheme val="minor"/>
      </rPr>
      <t xml:space="preserve">Project Management Unit. Vehicles to support the national, provincial and municipal units of project management. </t>
    </r>
  </si>
  <si>
    <t>Eleven (11) Toyota Hilux 3.0 D-4D truck 171 Double cabin VXL-4p. 5 seats with spare set (tires, oil filter, brake bands, crossarms, alternator, starter, grills, spark plugs, etc.)</t>
  </si>
  <si>
    <t>Light car 5 seats</t>
  </si>
  <si>
    <t>Sidecar motorcycle</t>
  </si>
  <si>
    <t>Toyota Hilux 3.0 D-4D truck 171 Double cabin VXL-4p. 5 seats with spare set (tires, oil filter, brake bands, crossarms, alternator, starter, grills, spark plugs, etc.)</t>
  </si>
  <si>
    <r>
      <rPr>
        <b/>
        <sz val="11"/>
        <color rgb="FF000000"/>
        <rFont val="Calibri"/>
        <family val="2"/>
        <scheme val="minor"/>
      </rPr>
      <t xml:space="preserve">GCF. </t>
    </r>
    <r>
      <rPr>
        <sz val="11"/>
        <color rgb="FF000000"/>
        <rFont val="Calibri"/>
        <family val="2"/>
        <scheme val="minor"/>
      </rPr>
      <t xml:space="preserve">Project Management Unit. Computers and Printers to support the national, provincial and municipal units of project management. </t>
    </r>
  </si>
  <si>
    <t>Desktop</t>
  </si>
  <si>
    <t>Notebooks with docking statiion</t>
  </si>
  <si>
    <t>Laser printer</t>
  </si>
  <si>
    <r>
      <rPr>
        <b/>
        <sz val="11"/>
        <color rgb="FF000000"/>
        <rFont val="Calibri"/>
        <family val="2"/>
        <scheme val="minor"/>
      </rPr>
      <t xml:space="preserve">GCF. </t>
    </r>
    <r>
      <rPr>
        <sz val="11"/>
        <color rgb="FF000000"/>
        <rFont val="Calibri"/>
        <family val="2"/>
        <scheme val="minor"/>
      </rPr>
      <t xml:space="preserve">Project Management Unit. Multimedia and communication equipment to support the national, provincial and municipal units of project management. </t>
    </r>
  </si>
  <si>
    <t>Phone</t>
  </si>
  <si>
    <t>Cell phones</t>
  </si>
  <si>
    <t>Router WifI</t>
  </si>
  <si>
    <t>Internet connection</t>
  </si>
  <si>
    <t>Projector data show</t>
  </si>
  <si>
    <t>screen</t>
  </si>
  <si>
    <t>Laser pointer</t>
  </si>
  <si>
    <t>GPS</t>
  </si>
  <si>
    <t>Photographic camera.</t>
  </si>
  <si>
    <r>
      <rPr>
        <b/>
        <sz val="11"/>
        <color rgb="FF000000"/>
        <rFont val="Calibri"/>
        <family val="2"/>
        <scheme val="minor"/>
      </rPr>
      <t xml:space="preserve">GCF. </t>
    </r>
    <r>
      <rPr>
        <sz val="11"/>
        <color rgb="FF000000"/>
        <rFont val="Calibri"/>
        <family val="2"/>
        <scheme val="minor"/>
      </rPr>
      <t xml:space="preserve">Project Management Unit. Air conditioning, furniture and various office utensils to support the national, provincial and municipal units of project management. </t>
    </r>
  </si>
  <si>
    <t>Air conditioner</t>
  </si>
  <si>
    <t>Desks with chairs</t>
  </si>
  <si>
    <t>Various office utensils</t>
  </si>
  <si>
    <r>
      <rPr>
        <b/>
        <sz val="11"/>
        <color rgb="FF000000"/>
        <rFont val="Calibri"/>
        <family val="2"/>
        <scheme val="minor"/>
      </rPr>
      <t xml:space="preserve">GCF. </t>
    </r>
    <r>
      <rPr>
        <sz val="11"/>
        <color rgb="FF000000"/>
        <rFont val="Calibri"/>
        <family val="2"/>
        <scheme val="minor"/>
      </rPr>
      <t xml:space="preserve">Project Management Unit. Vehicles running costs to support the national, provincial and municipal units of project management. </t>
    </r>
  </si>
  <si>
    <t>Gas</t>
  </si>
  <si>
    <r>
      <rPr>
        <b/>
        <sz val="11"/>
        <color rgb="FF000000"/>
        <rFont val="Calibri"/>
        <family val="2"/>
        <scheme val="minor"/>
      </rPr>
      <t xml:space="preserve">CUBA. </t>
    </r>
    <r>
      <rPr>
        <sz val="11"/>
        <color rgb="FF000000"/>
        <rFont val="Calibri"/>
        <family val="2"/>
        <scheme val="minor"/>
      </rPr>
      <t xml:space="preserve">Project Management Unit. Project staff of the national, provincial and municipal units of project management. </t>
    </r>
  </si>
  <si>
    <t>Coordinator (National, Provincial, Municipal)</t>
  </si>
  <si>
    <t>Logistics and training assistant</t>
  </si>
  <si>
    <t>Administrative assistant</t>
  </si>
  <si>
    <t>Monitoring and evaluation assistant</t>
  </si>
  <si>
    <t>Driver</t>
  </si>
  <si>
    <r>
      <rPr>
        <b/>
        <sz val="11"/>
        <color rgb="FF000000"/>
        <rFont val="Calibri"/>
        <family val="2"/>
        <scheme val="minor"/>
      </rPr>
      <t xml:space="preserve">CUBA. </t>
    </r>
    <r>
      <rPr>
        <sz val="11"/>
        <color rgb="FF000000"/>
        <rFont val="Calibri"/>
        <family val="2"/>
        <scheme val="minor"/>
      </rPr>
      <t>Project Management Unit. Office maintenance (General services, utilities, etc.).</t>
    </r>
  </si>
  <si>
    <t>Cleaning service</t>
  </si>
  <si>
    <t>Security and vigilance</t>
  </si>
  <si>
    <t>Office use</t>
  </si>
  <si>
    <t>GCF. Middle term technical and financial evaluation</t>
  </si>
  <si>
    <t>Phase 1 evaluation design and inception process and workshop</t>
  </si>
  <si>
    <t xml:space="preserve">OED Evaluation Team Leader </t>
  </si>
  <si>
    <t>Days</t>
  </si>
  <si>
    <t>Travel (lumpsum)+ DSA/ OED Evaluation Team Leader</t>
  </si>
  <si>
    <t>Contracts (lumpsum)</t>
  </si>
  <si>
    <t xml:space="preserve">Phase 2 (A) data colection, interviews and analysis </t>
  </si>
  <si>
    <t xml:space="preserve">Phase 3 analysis, report writing and validation workshop  </t>
  </si>
  <si>
    <t>GCF. Final Evaluation</t>
  </si>
  <si>
    <t>Phase 1 evaluation design and process and inception workshop</t>
  </si>
  <si>
    <t xml:space="preserve">Phase 2 data colection, analysis, report writing and validation workshop  </t>
  </si>
  <si>
    <r>
      <rPr>
        <b/>
        <sz val="11"/>
        <color rgb="FF000000"/>
        <rFont val="Calibri"/>
        <family val="2"/>
        <scheme val="minor"/>
      </rPr>
      <t xml:space="preserve">GCF. </t>
    </r>
    <r>
      <rPr>
        <sz val="11"/>
        <color rgb="FF000000"/>
        <rFont val="Calibri"/>
        <family val="2"/>
        <scheme val="minor"/>
      </rPr>
      <t>Impact Evaluation Costs</t>
    </r>
  </si>
  <si>
    <t>Consultancies, Year 6</t>
  </si>
  <si>
    <t>Consultancies, Year 7</t>
  </si>
  <si>
    <r>
      <rPr>
        <b/>
        <sz val="11"/>
        <color rgb="FF000000"/>
        <rFont val="Calibri"/>
        <family val="2"/>
        <scheme val="minor"/>
      </rPr>
      <t xml:space="preserve">CUBA. </t>
    </r>
    <r>
      <rPr>
        <sz val="11"/>
        <color rgb="FF000000"/>
        <rFont val="Calibri"/>
        <family val="2"/>
        <scheme val="minor"/>
      </rPr>
      <t>Impact Evaluation Costs</t>
    </r>
  </si>
  <si>
    <t>TOTAL BUDGET</t>
  </si>
  <si>
    <t>REFERENCIA</t>
  </si>
  <si>
    <t>EQUIPO / UEBIST</t>
  </si>
  <si>
    <t>Desbrozadora BMH 480</t>
  </si>
  <si>
    <t>Tractor con llanta de 120 hp</t>
  </si>
  <si>
    <t>B, S</t>
  </si>
  <si>
    <t>Tractor con llanta de 90 hp</t>
  </si>
  <si>
    <t>Tractor con llanta de 45 hp</t>
  </si>
  <si>
    <t>Excavadora</t>
  </si>
  <si>
    <t>Rotovator</t>
  </si>
  <si>
    <t>Rotavator RT 400</t>
  </si>
  <si>
    <t>IMPLEMENTOS / UEBIST</t>
  </si>
  <si>
    <t>3 anchor subsoiler</t>
  </si>
  <si>
    <t>Subsolador de 3 anclas</t>
  </si>
  <si>
    <t>Subsolador de 3 organos</t>
  </si>
  <si>
    <t>Multi plow</t>
  </si>
  <si>
    <t>Arado múltiple</t>
  </si>
  <si>
    <t>B,S</t>
  </si>
  <si>
    <t>Multiarado</t>
  </si>
  <si>
    <t>Cultivador</t>
  </si>
  <si>
    <t>Surcador de 3 órganos</t>
  </si>
  <si>
    <t>3-anchor furrower</t>
  </si>
  <si>
    <t>Surcador de 3 anclas</t>
  </si>
  <si>
    <t>Sembradora de precisión grano grueso / 4 hil.</t>
  </si>
  <si>
    <t>14t tribasculant trailer</t>
  </si>
  <si>
    <t>Remolque tribasculant 14t</t>
  </si>
  <si>
    <t>Trailler 14 t</t>
  </si>
  <si>
    <t>Trailer de 7 t</t>
  </si>
  <si>
    <t>Asfixia - barrenador</t>
  </si>
  <si>
    <t>Ahoyador-Barrenador</t>
  </si>
  <si>
    <t>Sembradora de precisión con granos gruesos</t>
  </si>
  <si>
    <t>Multi plow 6 in 1</t>
  </si>
  <si>
    <t>Multi arado 6 en 1</t>
  </si>
  <si>
    <t>Multiarado  6 en 1</t>
  </si>
  <si>
    <t>Gimbal Forage Machine</t>
  </si>
  <si>
    <t>Máquina de forraje de cardán</t>
  </si>
  <si>
    <t>Máquina Forrajera por cardan</t>
  </si>
  <si>
    <t>Silocosechadora</t>
  </si>
  <si>
    <t>Embaladora de heno</t>
  </si>
  <si>
    <t>Empacadora de heno</t>
  </si>
  <si>
    <t>Hileradora</t>
  </si>
  <si>
    <t>Hilerador</t>
  </si>
  <si>
    <t>Segadora de pasto</t>
  </si>
  <si>
    <t>IMPLEMENTOS / FORMAS PRODUCTIVAS</t>
  </si>
  <si>
    <t>Equipo de labranza manual</t>
  </si>
  <si>
    <t>Trituradora manual con juego de discos de corte.</t>
  </si>
  <si>
    <t xml:space="preserve">Sembradora manual de granos </t>
  </si>
  <si>
    <t>Barrenador manual - motor de gasolina</t>
  </si>
  <si>
    <t>Aplicadora manual de fertilizante granulado</t>
  </si>
  <si>
    <t>Asperjadora de mochila con motor de gasolina de 20 - 25 Li</t>
  </si>
  <si>
    <t>Asperjadora de mochila de 20 - 25 litros</t>
  </si>
  <si>
    <t>Desbrozadora - Motoguadaña Manual</t>
  </si>
  <si>
    <t>Motosierra para labores de raleo, poda y tala</t>
  </si>
  <si>
    <t>Telescopic battery chainsaw</t>
  </si>
  <si>
    <t>Motosierra telescopica de batería</t>
  </si>
  <si>
    <t>Equipos de ordeño mecanico alimentado con paneles solares</t>
  </si>
  <si>
    <t>Termos para enfriamiento de leche con capacidad de 1000 L. Energia convencional</t>
  </si>
  <si>
    <t>Termos para capacidad de leche con capacidad de 1000 L. Energía convencional</t>
  </si>
  <si>
    <t>Table 1.2: Details of the equipment and implements to be acquired through the O&amp;M Plan. IRES-Cuba Project</t>
  </si>
  <si>
    <t>Equipment and Implements</t>
  </si>
  <si>
    <t>Quantity to be procured by the project</t>
  </si>
  <si>
    <t>Unit Cost</t>
  </si>
  <si>
    <t>Value allocated to O&amp;M</t>
  </si>
  <si>
    <t>  (15% of the total price)</t>
  </si>
  <si>
    <t>Milking equipment powered by solar panels</t>
  </si>
  <si>
    <t>Thermos for cooling milk with a capacity of 1000 L. Conventional energy</t>
  </si>
  <si>
    <t>TABLE 4. BUDGET</t>
  </si>
  <si>
    <t>Activity Name</t>
  </si>
  <si>
    <t>TOTAL BUDGET USD$</t>
  </si>
  <si>
    <t>Output 1:  Increased CC-resilient production landscapes through investment in innovative agroforestry and silvopastoral systems, reforestation with close-to-nature planted forests (CTNPFs) and assisted natural forest regeneration</t>
  </si>
  <si>
    <t xml:space="preserve">Output 2:  Strengthened institutional and farmer capacities to improve ecosystem services through agroforestry and forestry systems and enhance the climate-resilience of production landscapes </t>
  </si>
  <si>
    <t>Output 3: Effective governance to support climate resilience-enhancing production systems and ecosystem services</t>
  </si>
  <si>
    <t>Project Management Unit</t>
  </si>
  <si>
    <t>Evaluation</t>
  </si>
  <si>
    <t>Project Management</t>
  </si>
  <si>
    <t>TABLE 3. INDICATIVE PROCUREMENT PLAN</t>
  </si>
  <si>
    <t>Method</t>
  </si>
  <si>
    <t>EVALUATION</t>
  </si>
  <si>
    <t>TABLE 5. FINANCIAL TIMELINE</t>
  </si>
  <si>
    <t>ACTIVITY</t>
  </si>
  <si>
    <t>BUDGET</t>
  </si>
  <si>
    <t>Year 1</t>
  </si>
  <si>
    <t>Year 2</t>
  </si>
  <si>
    <t>Year 3</t>
  </si>
  <si>
    <t>Year 4</t>
  </si>
  <si>
    <t>Year 5</t>
  </si>
  <si>
    <t>Year 6</t>
  </si>
  <si>
    <t>Year 7</t>
  </si>
  <si>
    <t>IRES PROJECT</t>
  </si>
  <si>
    <t>TABLE 6. FINANCIAL TIMELINE BY FINANCIAL SOURCE</t>
  </si>
  <si>
    <t>SOURCE</t>
  </si>
  <si>
    <t>Green Climate Fund (GCF)</t>
  </si>
  <si>
    <t>MAIN FINANCIAL ELEMENTS</t>
  </si>
  <si>
    <t>TOTAL</t>
  </si>
  <si>
    <t>BENEFITS</t>
  </si>
  <si>
    <t>YEAR 1</t>
  </si>
  <si>
    <t>YEAR 2</t>
  </si>
  <si>
    <t>YEAR 3</t>
  </si>
  <si>
    <t>YEAR 4</t>
  </si>
  <si>
    <t>YEAR 5</t>
  </si>
  <si>
    <t>YEAR 6</t>
  </si>
  <si>
    <t>YEAR 7</t>
  </si>
  <si>
    <t>Beneficiary families acrued</t>
  </si>
  <si>
    <t>Direct beneficiaries</t>
  </si>
  <si>
    <t>Restoration of critical areas acrued</t>
  </si>
  <si>
    <t>TABLE 7. BUDGET BY FINANCIAL SOURCE (USD)</t>
  </si>
  <si>
    <t>NATIONAL</t>
  </si>
  <si>
    <t>Programmed</t>
  </si>
  <si>
    <t>% Participation</t>
  </si>
  <si>
    <t>OUTPUTS AND ACTIVIES/SUBACTIVITIES</t>
  </si>
  <si>
    <t>A = B+C</t>
  </si>
  <si>
    <t>C = D+E+F</t>
  </si>
  <si>
    <t>TABLE 8. IMPLEMENTATION TIMELINE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</si>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</sst>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5" formatCode="&quot;$&quot;#,##0_);\(&quot;$&quot;#,##0\)"/>
    <numFmt numFmtId="6" formatCode="&quot;$&quot;#,##0_);[Red]\(&quot;$&quot;#,##0\)"/>
    <numFmt numFmtId="8" formatCode="&quot;$&quot;#,##0.00_);[Red]\(&quot;$&quot;#,##0.00\)"/>
    <numFmt numFmtId="43" formatCode="_(* #,##0.00_);_(* \(#,##0.00\);_(* &quot;-&quot;??_);_(@_)"/>
    <numFmt numFmtId="164" formatCode="_-* #,##0.00_-;\-* #,##0.00_-;_-* &quot;-&quot;??_-;_-@_-"/>
    <numFmt numFmtId="165" formatCode="&quot;$&quot;#,##0"/>
    <numFmt numFmtId="166" formatCode="&quot;$&quot;#,##0.00"/>
    <numFmt numFmtId="167" formatCode="0.00000%"/>
    <numFmt numFmtId="168" formatCode="_(* #,##0_);_(* \(#,##0\);_(* &quot;-&quot;??_);_(@_)"/>
    <numFmt numFmtId="169" formatCode="#,##0.0_);\(#,##0.0\)"/>
    <numFmt numFmtId="170" formatCode="_(* #,##0.0_);_(* \(#,##0.0\);_(* &quot;-&quot;??_);_(@_)"/>
    <numFmt numFmtId="171" formatCode="#,##0.000000"/>
    <numFmt numFmtId="172" formatCode="_-* #,##0.0_-;\-* #,##0.0_-;_-* &quot;-&quot;??_-;_-@_-"/>
    <numFmt numFmtId="173" formatCode="&quot;$&quot;#,##0.000"/>
    <numFmt numFmtId="174" formatCode="0.000"/>
    <numFmt numFmtId="175" formatCode="0.0%"/>
  </numFmts>
  <fonts count="30">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name val="Verdana"/>
      <family val="2"/>
    </font>
    <font>
      <b/>
      <sz val="10"/>
      <color theme="0"/>
      <name val="Calibri"/>
      <family val="2"/>
      <scheme val="minor"/>
    </font>
    <font>
      <sz val="11"/>
      <color rgb="FF000000"/>
      <name val="Calibri"/>
      <family val="2"/>
      <scheme val="minor"/>
    </font>
    <font>
      <b/>
      <sz val="11"/>
      <color rgb="FF000000"/>
      <name val="Calibri"/>
      <family val="2"/>
      <scheme val="minor"/>
    </font>
    <font>
      <sz val="9"/>
      <color rgb="FF000000"/>
      <name val="Calibri"/>
      <family val="2"/>
      <scheme val="minor"/>
    </font>
    <font>
      <sz val="9"/>
      <name val="Calibri"/>
      <family val="2"/>
      <scheme val="minor"/>
    </font>
    <font>
      <b/>
      <sz val="9"/>
      <color rgb="FF000000"/>
      <name val="Calibri"/>
      <family val="2"/>
      <scheme val="minor"/>
    </font>
    <font>
      <b/>
      <sz val="11"/>
      <name val="Calibri"/>
      <family val="2"/>
      <scheme val="minor"/>
    </font>
    <font>
      <sz val="11"/>
      <name val="Calibri"/>
      <family val="2"/>
      <scheme val="minor"/>
    </font>
    <font>
      <b/>
      <sz val="9"/>
      <name val="Calibri"/>
      <family val="2"/>
      <scheme val="minor"/>
    </font>
    <font>
      <sz val="9"/>
      <color theme="1"/>
      <name val="Calibri"/>
      <family val="2"/>
      <scheme val="minor"/>
    </font>
    <font>
      <b/>
      <sz val="10"/>
      <name val="Calibri"/>
      <family val="2"/>
      <scheme val="minor"/>
    </font>
    <font>
      <sz val="10"/>
      <name val="Calibri"/>
      <family val="2"/>
      <scheme val="minor"/>
    </font>
    <font>
      <b/>
      <sz val="8"/>
      <name val="Calibri"/>
      <family val="2"/>
      <scheme val="minor"/>
    </font>
    <font>
      <sz val="8"/>
      <name val="Calibri"/>
      <family val="2"/>
      <scheme val="minor"/>
    </font>
    <font>
      <b/>
      <sz val="11"/>
      <name val="Times New Roman"/>
      <family val="1"/>
    </font>
    <font>
      <b/>
      <i/>
      <sz val="11"/>
      <color theme="1"/>
      <name val="Calibri"/>
      <family val="2"/>
      <scheme val="minor"/>
    </font>
    <font>
      <b/>
      <i/>
      <sz val="9"/>
      <name val="Calibri"/>
      <family val="2"/>
      <scheme val="minor"/>
    </font>
    <font>
      <b/>
      <i/>
      <sz val="9"/>
      <color rgb="FF000000"/>
      <name val="Calibri"/>
      <family val="2"/>
      <scheme val="minor"/>
    </font>
    <font>
      <b/>
      <sz val="14"/>
      <name val="Calibri"/>
      <family val="2"/>
    </font>
    <font>
      <sz val="14"/>
      <name val="Calibri"/>
      <family val="2"/>
      <scheme val="minor"/>
    </font>
    <font>
      <b/>
      <sz val="11"/>
      <color rgb="FFFF0000"/>
      <name val="Calibri"/>
      <family val="2"/>
      <scheme val="minor"/>
    </font>
    <font>
      <sz val="11"/>
      <color rgb="FFFF0000"/>
      <name val="Calibri"/>
      <family val="2"/>
      <scheme val="minor"/>
    </font>
    <font>
      <b/>
      <sz val="11"/>
      <color rgb="FFFFFFFF"/>
      <name val="Arial"/>
      <family val="2"/>
    </font>
    <font>
      <b/>
      <sz val="11"/>
      <color rgb="FFFFFFFF"/>
      <name val="Calibri"/>
      <family val="2"/>
      <scheme val="minor"/>
    </font>
    <font>
      <b/>
      <sz val="14"/>
      <color theme="1"/>
      <name val="Calibri"/>
      <family val="2"/>
      <scheme val="minor"/>
    </font>
  </fonts>
  <fills count="18">
    <fill>
      <patternFill patternType="none"/>
    </fill>
    <fill>
      <patternFill patternType="gray125"/>
    </fill>
    <fill>
      <patternFill patternType="solid">
        <fgColor theme="4" tint="-0.249977111117893"/>
        <bgColor indexed="64"/>
      </patternFill>
    </fill>
    <fill>
      <patternFill patternType="solid">
        <fgColor rgb="FF00B0F0"/>
        <bgColor indexed="64"/>
      </patternFill>
    </fill>
    <fill>
      <patternFill patternType="solid">
        <fgColor theme="4" tint="0.39997558519241921"/>
        <bgColor indexed="64"/>
      </patternFill>
    </fill>
    <fill>
      <patternFill patternType="solid">
        <fgColor theme="0"/>
        <bgColor indexed="64"/>
      </patternFill>
    </fill>
    <fill>
      <patternFill patternType="solid">
        <fgColor theme="8" tint="0.79998168889431442"/>
        <bgColor indexed="64"/>
      </patternFill>
    </fill>
    <fill>
      <patternFill patternType="solid">
        <fgColor theme="3" tint="0.39997558519241921"/>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1AFFE4"/>
        <bgColor indexed="64"/>
      </patternFill>
    </fill>
    <fill>
      <patternFill patternType="solid">
        <fgColor theme="0" tint="-0.34998626667073579"/>
        <bgColor indexed="64"/>
      </patternFill>
    </fill>
    <fill>
      <patternFill patternType="solid">
        <fgColor rgb="FF43A5D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00FF00"/>
        <bgColor indexed="64"/>
      </patternFill>
    </fill>
    <fill>
      <patternFill patternType="solid">
        <fgColor rgb="FF5B9BD5"/>
        <bgColor indexed="64"/>
      </patternFill>
    </fill>
    <fill>
      <patternFill patternType="solid">
        <fgColor rgb="FF000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theme="3" tint="0.39994506668294322"/>
      </left>
      <right style="thin">
        <color theme="3" tint="0.39994506668294322"/>
      </right>
      <top/>
      <bottom/>
      <diagonal/>
    </border>
    <border>
      <left style="thin">
        <color theme="3" tint="0.39994506668294322"/>
      </left>
      <right/>
      <top/>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top/>
      <bottom/>
      <diagonal/>
    </border>
    <border>
      <left style="medium">
        <color indexed="64"/>
      </left>
      <right style="thin">
        <color indexed="64"/>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rgb="FFFFFFFF"/>
      </left>
      <right/>
      <top style="medium">
        <color rgb="FFFFFFFF"/>
      </top>
      <bottom/>
      <diagonal/>
    </border>
    <border>
      <left style="medium">
        <color rgb="FFFFFFFF"/>
      </left>
      <right/>
      <top/>
      <bottom style="medium">
        <color rgb="FFFFFFFF"/>
      </bottom>
      <diagonal/>
    </border>
    <border>
      <left/>
      <right/>
      <top style="medium">
        <color rgb="FFFFFFFF"/>
      </top>
      <bottom/>
      <diagonal/>
    </border>
    <border>
      <left/>
      <right/>
      <top/>
      <bottom style="medium">
        <color rgb="FFFFFFFF"/>
      </bottom>
      <diagonal/>
    </border>
    <border>
      <left/>
      <right style="medium">
        <color rgb="FFFFFFFF"/>
      </right>
      <top style="medium">
        <color rgb="FFFFFFFF"/>
      </top>
      <bottom/>
      <diagonal/>
    </border>
    <border>
      <left/>
      <right style="medium">
        <color rgb="FFFFFFFF"/>
      </right>
      <top/>
      <bottom style="medium">
        <color rgb="FFFFFFFF"/>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164" fontId="1" fillId="0" borderId="0" applyFont="0" applyFill="0" applyBorder="0" applyAlignment="0" applyProtection="0"/>
    <xf numFmtId="0" fontId="1" fillId="0" borderId="0"/>
    <xf numFmtId="0" fontId="1" fillId="0" borderId="0"/>
  </cellStyleXfs>
  <cellXfs count="475">
    <xf numFmtId="0" fontId="0" fillId="0" borderId="0" xfId="0"/>
    <xf numFmtId="0" fontId="3" fillId="3" borderId="1" xfId="0" applyFont="1" applyFill="1" applyBorder="1" applyAlignment="1">
      <alignment horizontal="center" vertical="center" wrapText="1"/>
    </xf>
    <xf numFmtId="3" fontId="8" fillId="0" borderId="1" xfId="0"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5" fontId="3" fillId="0" borderId="1" xfId="0" applyNumberFormat="1" applyFont="1" applyFill="1" applyBorder="1" applyAlignment="1">
      <alignment horizontal="center" vertical="center"/>
    </xf>
    <xf numFmtId="165" fontId="3" fillId="0" borderId="1" xfId="0" applyNumberFormat="1" applyFont="1" applyBorder="1" applyAlignment="1">
      <alignment horizontal="center" vertical="center"/>
    </xf>
    <xf numFmtId="0" fontId="0" fillId="0" borderId="1" xfId="0" applyFont="1" applyBorder="1" applyAlignment="1">
      <alignment horizontal="center" vertical="center"/>
    </xf>
    <xf numFmtId="165" fontId="8" fillId="0" borderId="1" xfId="0" applyNumberFormat="1" applyFont="1" applyFill="1" applyBorder="1" applyAlignment="1">
      <alignment horizontal="center" vertical="center" wrapText="1"/>
    </xf>
    <xf numFmtId="165" fontId="10" fillId="0" borderId="1"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3" fontId="6" fillId="0" borderId="1" xfId="0" applyNumberFormat="1" applyFont="1" applyFill="1" applyBorder="1" applyAlignment="1">
      <alignment vertical="top" wrapText="1"/>
    </xf>
    <xf numFmtId="166" fontId="0" fillId="0" borderId="1" xfId="0" applyNumberFormat="1" applyFont="1" applyBorder="1" applyAlignment="1">
      <alignment horizontal="center" vertical="center"/>
    </xf>
    <xf numFmtId="165" fontId="9" fillId="0" borderId="1" xfId="0" applyNumberFormat="1" applyFont="1" applyFill="1" applyBorder="1" applyAlignment="1">
      <alignment horizontal="center" vertical="center" wrapText="1"/>
    </xf>
    <xf numFmtId="165"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166" fontId="9" fillId="0" borderId="1" xfId="0" applyNumberFormat="1" applyFont="1" applyFill="1" applyBorder="1" applyAlignment="1">
      <alignment horizontal="center" vertical="center" wrapText="1"/>
    </xf>
    <xf numFmtId="8" fontId="9" fillId="0" borderId="1" xfId="0" applyNumberFormat="1" applyFont="1" applyFill="1" applyBorder="1" applyAlignment="1">
      <alignment horizontal="center" vertical="center" wrapText="1"/>
    </xf>
    <xf numFmtId="6" fontId="9" fillId="0" borderId="1" xfId="0" applyNumberFormat="1" applyFont="1" applyFill="1" applyBorder="1" applyAlignment="1">
      <alignment horizontal="center" vertical="center" wrapText="1"/>
    </xf>
    <xf numFmtId="165" fontId="0" fillId="0" borderId="1" xfId="0" applyNumberFormat="1" applyFont="1" applyBorder="1" applyAlignment="1">
      <alignment horizontal="center" vertical="center"/>
    </xf>
    <xf numFmtId="4" fontId="0" fillId="0" borderId="1" xfId="0" applyNumberFormat="1" applyFont="1" applyBorder="1" applyAlignment="1">
      <alignment horizontal="center" vertical="center"/>
    </xf>
    <xf numFmtId="3" fontId="10" fillId="0" borderId="1" xfId="0" applyNumberFormat="1" applyFont="1" applyFill="1" applyBorder="1" applyAlignment="1">
      <alignment horizontal="center" vertical="center" wrapText="1"/>
    </xf>
    <xf numFmtId="3" fontId="13"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166" fontId="0" fillId="0" borderId="1" xfId="0" applyNumberFormat="1" applyBorder="1"/>
    <xf numFmtId="4" fontId="9"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top" wrapText="1"/>
    </xf>
    <xf numFmtId="0" fontId="14" fillId="0" borderId="1" xfId="0" applyFont="1" applyFill="1" applyBorder="1" applyAlignment="1">
      <alignment vertical="top" wrapText="1"/>
    </xf>
    <xf numFmtId="0" fontId="0" fillId="0" borderId="0" xfId="0" applyFill="1"/>
    <xf numFmtId="0" fontId="3" fillId="0" borderId="0" xfId="0" applyFont="1" applyFill="1" applyBorder="1" applyAlignment="1">
      <alignment horizontal="center" vertical="center" wrapText="1"/>
    </xf>
    <xf numFmtId="0" fontId="0" fillId="0" borderId="0" xfId="0" applyFont="1" applyFill="1" applyBorder="1" applyAlignment="1">
      <alignment horizontal="left" vertical="top" wrapText="1"/>
    </xf>
    <xf numFmtId="0" fontId="0" fillId="0" borderId="0" xfId="0" applyFont="1" applyBorder="1" applyAlignment="1">
      <alignment horizontal="center" vertical="center"/>
    </xf>
    <xf numFmtId="3" fontId="9" fillId="0" borderId="0" xfId="0" applyNumberFormat="1" applyFont="1" applyFill="1" applyBorder="1" applyAlignment="1">
      <alignment horizontal="center" vertical="center" wrapText="1"/>
    </xf>
    <xf numFmtId="165" fontId="8" fillId="0" borderId="0" xfId="0" applyNumberFormat="1" applyFont="1" applyFill="1" applyBorder="1" applyAlignment="1">
      <alignment horizontal="center" vertical="center" wrapText="1"/>
    </xf>
    <xf numFmtId="0" fontId="0" fillId="0" borderId="0" xfId="0" applyAlignment="1">
      <alignment horizontal="center" vertical="center"/>
    </xf>
    <xf numFmtId="0" fontId="12" fillId="2" borderId="1" xfId="0" applyFont="1" applyFill="1" applyBorder="1" applyAlignment="1">
      <alignment vertical="top"/>
    </xf>
    <xf numFmtId="0" fontId="12" fillId="2" borderId="1" xfId="0" applyFont="1" applyFill="1" applyBorder="1" applyAlignment="1">
      <alignment horizontal="center" vertical="center"/>
    </xf>
    <xf numFmtId="0" fontId="12" fillId="0" borderId="0" xfId="0" applyFont="1" applyBorder="1"/>
    <xf numFmtId="0" fontId="12" fillId="0" borderId="0" xfId="0" applyFont="1"/>
    <xf numFmtId="0" fontId="11" fillId="4" borderId="1" xfId="0" applyFont="1" applyFill="1" applyBorder="1" applyAlignment="1">
      <alignment horizontal="center" vertical="center" wrapText="1"/>
    </xf>
    <xf numFmtId="3" fontId="12" fillId="0" borderId="1" xfId="0" applyNumberFormat="1" applyFont="1" applyBorder="1" applyAlignment="1">
      <alignment vertical="center" wrapText="1"/>
    </xf>
    <xf numFmtId="3" fontId="12" fillId="0" borderId="1" xfId="0" applyNumberFormat="1" applyFont="1" applyBorder="1" applyAlignment="1">
      <alignment wrapText="1"/>
    </xf>
    <xf numFmtId="3" fontId="12" fillId="0" borderId="0" xfId="0" applyNumberFormat="1" applyFont="1"/>
    <xf numFmtId="0" fontId="12" fillId="0" borderId="1" xfId="0" applyFont="1" applyBorder="1" applyAlignment="1">
      <alignment vertical="center" wrapText="1"/>
    </xf>
    <xf numFmtId="3" fontId="12" fillId="0" borderId="1" xfId="0" applyNumberFormat="1" applyFont="1" applyFill="1" applyBorder="1" applyAlignment="1">
      <alignment wrapText="1"/>
    </xf>
    <xf numFmtId="3" fontId="12" fillId="0" borderId="1" xfId="0" applyNumberFormat="1" applyFont="1" applyFill="1" applyBorder="1" applyAlignment="1">
      <alignment vertical="center" wrapText="1"/>
    </xf>
    <xf numFmtId="0" fontId="12" fillId="0" borderId="1" xfId="0" applyFont="1" applyFill="1" applyBorder="1" applyAlignment="1">
      <alignment vertical="center" wrapText="1"/>
    </xf>
    <xf numFmtId="0" fontId="12" fillId="6" borderId="1" xfId="0" applyFont="1" applyFill="1" applyBorder="1" applyAlignment="1">
      <alignment horizontal="center" vertical="center" wrapText="1"/>
    </xf>
    <xf numFmtId="0" fontId="12" fillId="6" borderId="1" xfId="0" applyFont="1" applyFill="1" applyBorder="1" applyAlignment="1">
      <alignment wrapText="1"/>
    </xf>
    <xf numFmtId="3" fontId="11" fillId="6" borderId="1" xfId="0" applyNumberFormat="1" applyFont="1" applyFill="1" applyBorder="1" applyAlignment="1">
      <alignment wrapText="1"/>
    </xf>
    <xf numFmtId="0" fontId="12" fillId="0" borderId="0" xfId="0" applyFont="1" applyFill="1"/>
    <xf numFmtId="0" fontId="12" fillId="5" borderId="1" xfId="0" applyFont="1" applyFill="1" applyBorder="1" applyAlignment="1">
      <alignment vertical="center" wrapText="1"/>
    </xf>
    <xf numFmtId="3" fontId="12" fillId="0" borderId="1" xfId="0" applyNumberFormat="1" applyFont="1" applyBorder="1" applyAlignment="1">
      <alignment horizontal="center" vertical="center"/>
    </xf>
    <xf numFmtId="0" fontId="12" fillId="5" borderId="1" xfId="0" applyFont="1" applyFill="1" applyBorder="1" applyAlignment="1">
      <alignment wrapText="1"/>
    </xf>
    <xf numFmtId="167" fontId="12" fillId="0" borderId="1" xfId="2" applyNumberFormat="1" applyFont="1" applyBorder="1" applyAlignment="1">
      <alignment horizontal="center" vertical="center"/>
    </xf>
    <xf numFmtId="0" fontId="12" fillId="5" borderId="1" xfId="0" applyFont="1" applyFill="1" applyBorder="1" applyAlignment="1">
      <alignment horizontal="left" vertical="center" wrapText="1"/>
    </xf>
    <xf numFmtId="3" fontId="11" fillId="0" borderId="1" xfId="0" applyNumberFormat="1" applyFont="1" applyBorder="1" applyAlignment="1">
      <alignment wrapText="1"/>
    </xf>
    <xf numFmtId="0" fontId="12" fillId="0" borderId="0" xfId="0" applyFont="1" applyAlignment="1">
      <alignment horizontal="center" vertical="center"/>
    </xf>
    <xf numFmtId="0" fontId="11" fillId="2" borderId="1" xfId="3" applyFont="1" applyFill="1" applyBorder="1" applyAlignment="1">
      <alignment horizontal="left" vertical="center"/>
    </xf>
    <xf numFmtId="165" fontId="12" fillId="2" borderId="1" xfId="0" applyNumberFormat="1" applyFont="1" applyFill="1" applyBorder="1" applyAlignment="1">
      <alignment vertical="top"/>
    </xf>
    <xf numFmtId="0" fontId="12" fillId="2" borderId="1" xfId="0" applyFont="1" applyFill="1" applyBorder="1" applyAlignment="1">
      <alignment horizontal="center" vertical="top"/>
    </xf>
    <xf numFmtId="0" fontId="12" fillId="0" borderId="0" xfId="0" applyFont="1" applyAlignment="1">
      <alignment vertical="top"/>
    </xf>
    <xf numFmtId="0" fontId="11" fillId="4" borderId="1" xfId="0" applyFont="1" applyFill="1" applyBorder="1" applyAlignment="1">
      <alignment horizontal="center" vertical="top" wrapText="1"/>
    </xf>
    <xf numFmtId="165" fontId="11" fillId="4" borderId="1" xfId="0" applyNumberFormat="1" applyFont="1" applyFill="1" applyBorder="1" applyAlignment="1">
      <alignment horizontal="center" vertical="top" wrapText="1"/>
    </xf>
    <xf numFmtId="0" fontId="12" fillId="0" borderId="1" xfId="0" applyFont="1" applyFill="1" applyBorder="1" applyAlignment="1">
      <alignment horizontal="left" vertical="top" wrapText="1"/>
    </xf>
    <xf numFmtId="165" fontId="12" fillId="0" borderId="1" xfId="0" applyNumberFormat="1" applyFont="1" applyBorder="1" applyAlignment="1">
      <alignment horizontal="right" vertical="top" wrapText="1"/>
    </xf>
    <xf numFmtId="0" fontId="12" fillId="0" borderId="1" xfId="0" applyFont="1" applyBorder="1" applyAlignment="1">
      <alignment horizontal="center" vertical="top"/>
    </xf>
    <xf numFmtId="165" fontId="12" fillId="0" borderId="0" xfId="0" applyNumberFormat="1" applyFont="1" applyAlignment="1">
      <alignment vertical="top"/>
    </xf>
    <xf numFmtId="3" fontId="12" fillId="0" borderId="1" xfId="0" applyNumberFormat="1" applyFont="1" applyBorder="1" applyAlignment="1">
      <alignment horizontal="center" vertical="top"/>
    </xf>
    <xf numFmtId="0" fontId="12" fillId="0" borderId="0" xfId="0" applyFont="1" applyAlignment="1">
      <alignment horizontal="center" vertical="top"/>
    </xf>
    <xf numFmtId="0" fontId="16" fillId="0" borderId="0" xfId="3" applyFont="1" applyFill="1" applyBorder="1" applyAlignment="1">
      <alignment vertical="center"/>
    </xf>
    <xf numFmtId="0" fontId="16" fillId="0" borderId="0" xfId="3" applyFont="1" applyFill="1" applyAlignment="1">
      <alignment vertical="center"/>
    </xf>
    <xf numFmtId="3" fontId="17" fillId="7" borderId="10" xfId="3" applyNumberFormat="1" applyFont="1" applyFill="1" applyBorder="1" applyAlignment="1">
      <alignment horizontal="right" vertical="center" wrapText="1"/>
    </xf>
    <xf numFmtId="3" fontId="17" fillId="7" borderId="10" xfId="3" applyNumberFormat="1" applyFont="1" applyFill="1" applyBorder="1" applyAlignment="1">
      <alignment horizontal="center" vertical="center" wrapText="1"/>
    </xf>
    <xf numFmtId="168" fontId="17" fillId="7" borderId="11" xfId="4" applyNumberFormat="1" applyFont="1" applyFill="1" applyBorder="1" applyAlignment="1">
      <alignment horizontal="center" vertical="center" wrapText="1"/>
    </xf>
    <xf numFmtId="168" fontId="17" fillId="0" borderId="0" xfId="4" applyNumberFormat="1" applyFont="1" applyFill="1" applyBorder="1" applyAlignment="1">
      <alignment horizontal="center" vertical="center"/>
    </xf>
    <xf numFmtId="0" fontId="16" fillId="5" borderId="0" xfId="3" applyFont="1" applyFill="1" applyBorder="1" applyAlignment="1">
      <alignment vertical="center"/>
    </xf>
    <xf numFmtId="0" fontId="16" fillId="5" borderId="0" xfId="3" applyFont="1" applyFill="1" applyAlignment="1">
      <alignment vertical="center"/>
    </xf>
    <xf numFmtId="8" fontId="17" fillId="0" borderId="1" xfId="4" applyNumberFormat="1" applyFont="1" applyFill="1" applyBorder="1" applyAlignment="1">
      <alignment horizontal="right" vertical="center" wrapText="1"/>
    </xf>
    <xf numFmtId="8" fontId="15" fillId="5" borderId="0" xfId="3" applyNumberFormat="1" applyFont="1" applyFill="1" applyBorder="1" applyAlignment="1">
      <alignment vertical="center"/>
    </xf>
    <xf numFmtId="0" fontId="15" fillId="5" borderId="0" xfId="3" applyFont="1" applyFill="1" applyBorder="1" applyAlignment="1">
      <alignment vertical="center"/>
    </xf>
    <xf numFmtId="0" fontId="15" fillId="5" borderId="0" xfId="3" applyFont="1" applyFill="1" applyAlignment="1">
      <alignment vertical="center"/>
    </xf>
    <xf numFmtId="8" fontId="17" fillId="0" borderId="1" xfId="3" applyNumberFormat="1" applyFont="1" applyFill="1" applyBorder="1" applyAlignment="1">
      <alignment horizontal="right" vertical="center" wrapText="1"/>
    </xf>
    <xf numFmtId="8" fontId="15" fillId="0" borderId="0" xfId="3" applyNumberFormat="1" applyFont="1" applyFill="1" applyBorder="1" applyAlignment="1">
      <alignment vertical="center"/>
    </xf>
    <xf numFmtId="0" fontId="15" fillId="0" borderId="0" xfId="3" applyFont="1" applyFill="1" applyBorder="1" applyAlignment="1">
      <alignment vertical="center"/>
    </xf>
    <xf numFmtId="0" fontId="15" fillId="0" borderId="0" xfId="3" applyFont="1" applyFill="1" applyAlignment="1">
      <alignment vertical="center"/>
    </xf>
    <xf numFmtId="169" fontId="17" fillId="5" borderId="1" xfId="4" applyNumberFormat="1" applyFont="1" applyFill="1" applyBorder="1" applyAlignment="1">
      <alignment horizontal="right" vertical="center" wrapText="1"/>
    </xf>
    <xf numFmtId="168" fontId="17" fillId="5" borderId="1" xfId="4" applyNumberFormat="1" applyFont="1" applyFill="1" applyBorder="1" applyAlignment="1">
      <alignment horizontal="left" vertical="center" wrapText="1"/>
    </xf>
    <xf numFmtId="169" fontId="18" fillId="5" borderId="1" xfId="4" applyNumberFormat="1" applyFont="1" applyFill="1" applyBorder="1" applyAlignment="1">
      <alignment horizontal="right" vertical="center" wrapText="1"/>
    </xf>
    <xf numFmtId="168" fontId="18" fillId="5" borderId="1" xfId="4" applyNumberFormat="1" applyFont="1" applyFill="1" applyBorder="1" applyAlignment="1">
      <alignment horizontal="left" vertical="center" wrapText="1"/>
    </xf>
    <xf numFmtId="8" fontId="18" fillId="0" borderId="1" xfId="3" applyNumberFormat="1" applyFont="1" applyFill="1" applyBorder="1" applyAlignment="1">
      <alignment horizontal="right" vertical="center" wrapText="1"/>
    </xf>
    <xf numFmtId="8" fontId="16" fillId="0" borderId="0" xfId="3" applyNumberFormat="1" applyFont="1" applyFill="1" applyBorder="1" applyAlignment="1">
      <alignment vertical="center"/>
    </xf>
    <xf numFmtId="6" fontId="18" fillId="0" borderId="0" xfId="4" applyNumberFormat="1" applyFont="1" applyFill="1" applyBorder="1" applyAlignment="1">
      <alignment horizontal="right" vertical="center" wrapText="1"/>
    </xf>
    <xf numFmtId="168" fontId="18" fillId="0" borderId="0" xfId="4" applyNumberFormat="1" applyFont="1" applyFill="1" applyBorder="1" applyAlignment="1">
      <alignment horizontal="right" vertical="center" wrapText="1"/>
    </xf>
    <xf numFmtId="3" fontId="17" fillId="0" borderId="0" xfId="3" applyNumberFormat="1" applyFont="1" applyFill="1" applyBorder="1" applyAlignment="1">
      <alignment horizontal="right" vertical="center" wrapText="1"/>
    </xf>
    <xf numFmtId="6" fontId="17" fillId="5" borderId="0" xfId="3" applyNumberFormat="1" applyFont="1" applyFill="1" applyBorder="1" applyAlignment="1">
      <alignment horizontal="right" vertical="center" wrapText="1"/>
    </xf>
    <xf numFmtId="6" fontId="18" fillId="5" borderId="0" xfId="4" applyNumberFormat="1" applyFont="1" applyFill="1" applyBorder="1" applyAlignment="1">
      <alignment horizontal="right" vertical="center" wrapText="1"/>
    </xf>
    <xf numFmtId="3" fontId="17" fillId="5" borderId="0" xfId="3" applyNumberFormat="1" applyFont="1" applyFill="1" applyBorder="1" applyAlignment="1">
      <alignment horizontal="left" vertical="center"/>
    </xf>
    <xf numFmtId="168" fontId="9" fillId="0" borderId="0" xfId="4" applyNumberFormat="1" applyFont="1" applyFill="1" applyBorder="1" applyAlignment="1">
      <alignment horizontal="right" vertical="center" wrapText="1"/>
    </xf>
    <xf numFmtId="0" fontId="9" fillId="0" borderId="0" xfId="0" applyFont="1"/>
    <xf numFmtId="0" fontId="9" fillId="0" borderId="0" xfId="0" applyFont="1" applyAlignment="1">
      <alignment horizontal="right"/>
    </xf>
    <xf numFmtId="168" fontId="12" fillId="0" borderId="0" xfId="0" applyNumberFormat="1" applyFont="1"/>
    <xf numFmtId="3" fontId="17" fillId="5" borderId="12" xfId="3" applyNumberFormat="1" applyFont="1" applyFill="1" applyBorder="1" applyAlignment="1">
      <alignment horizontal="left" vertical="center"/>
    </xf>
    <xf numFmtId="0" fontId="9" fillId="0" borderId="0" xfId="0" applyFont="1" applyBorder="1"/>
    <xf numFmtId="1" fontId="18" fillId="0" borderId="0" xfId="0" applyNumberFormat="1" applyFont="1" applyBorder="1"/>
    <xf numFmtId="0" fontId="18" fillId="0" borderId="0" xfId="0" applyFont="1" applyBorder="1"/>
    <xf numFmtId="168" fontId="15" fillId="3" borderId="1" xfId="4" applyNumberFormat="1" applyFont="1" applyFill="1" applyBorder="1" applyAlignment="1">
      <alignment horizontal="center" vertical="center" wrapText="1"/>
    </xf>
    <xf numFmtId="0" fontId="15" fillId="5" borderId="0" xfId="3" applyFont="1" applyFill="1" applyAlignment="1">
      <alignment vertical="center" wrapText="1"/>
    </xf>
    <xf numFmtId="8" fontId="16" fillId="5" borderId="0" xfId="3" applyNumberFormat="1" applyFont="1" applyFill="1" applyAlignment="1">
      <alignment vertical="center"/>
    </xf>
    <xf numFmtId="170" fontId="9" fillId="5" borderId="1" xfId="4" applyNumberFormat="1" applyFont="1" applyFill="1" applyBorder="1" applyAlignment="1">
      <alignment horizontal="right" vertical="center" wrapText="1"/>
    </xf>
    <xf numFmtId="168" fontId="9" fillId="5" borderId="1" xfId="4" applyNumberFormat="1" applyFont="1" applyFill="1" applyBorder="1" applyAlignment="1">
      <alignment horizontal="left" vertical="center" wrapText="1"/>
    </xf>
    <xf numFmtId="8" fontId="15" fillId="5" borderId="0" xfId="3" applyNumberFormat="1" applyFont="1" applyFill="1" applyAlignment="1">
      <alignment vertical="center"/>
    </xf>
    <xf numFmtId="0" fontId="16" fillId="0" borderId="0" xfId="0" applyFont="1" applyAlignment="1">
      <alignment wrapText="1"/>
    </xf>
    <xf numFmtId="0" fontId="15" fillId="5" borderId="0" xfId="3" applyFont="1" applyFill="1" applyBorder="1" applyAlignment="1">
      <alignment vertical="center" wrapText="1"/>
    </xf>
    <xf numFmtId="6" fontId="15" fillId="5" borderId="0" xfId="3" applyNumberFormat="1" applyFont="1" applyFill="1" applyBorder="1" applyAlignment="1">
      <alignment vertical="center" wrapText="1"/>
    </xf>
    <xf numFmtId="6" fontId="15" fillId="0" borderId="1" xfId="4" applyNumberFormat="1" applyFont="1" applyFill="1" applyBorder="1" applyAlignment="1">
      <alignment horizontal="right" vertical="center" wrapText="1"/>
    </xf>
    <xf numFmtId="6" fontId="15" fillId="0" borderId="0" xfId="3" applyNumberFormat="1" applyFont="1" applyFill="1" applyBorder="1" applyAlignment="1">
      <alignment vertical="center" wrapText="1"/>
    </xf>
    <xf numFmtId="0" fontId="15" fillId="0" borderId="0" xfId="3" applyFont="1" applyFill="1" applyBorder="1" applyAlignment="1">
      <alignment vertical="center" wrapText="1"/>
    </xf>
    <xf numFmtId="0" fontId="15" fillId="0" borderId="0" xfId="3" applyFont="1" applyFill="1" applyAlignment="1">
      <alignment vertical="center" wrapText="1"/>
    </xf>
    <xf numFmtId="0" fontId="11" fillId="2" borderId="30" xfId="3" applyFont="1" applyFill="1" applyBorder="1" applyAlignment="1">
      <alignment horizontal="left" vertical="center"/>
    </xf>
    <xf numFmtId="0" fontId="12" fillId="2" borderId="31" xfId="0" applyFont="1" applyFill="1" applyBorder="1" applyAlignment="1"/>
    <xf numFmtId="0" fontId="11" fillId="2" borderId="32" xfId="0" applyFont="1" applyFill="1" applyBorder="1" applyAlignment="1"/>
    <xf numFmtId="0" fontId="11" fillId="2" borderId="31" xfId="0" applyFont="1" applyFill="1" applyBorder="1" applyAlignment="1"/>
    <xf numFmtId="168" fontId="15" fillId="5" borderId="33" xfId="4" applyNumberFormat="1" applyFont="1" applyFill="1" applyBorder="1" applyAlignment="1">
      <alignment vertical="center"/>
    </xf>
    <xf numFmtId="168" fontId="15" fillId="10" borderId="34" xfId="4" applyNumberFormat="1" applyFont="1" applyFill="1" applyBorder="1" applyAlignment="1">
      <alignment horizontal="center" vertical="center" wrapText="1"/>
    </xf>
    <xf numFmtId="168" fontId="15" fillId="9" borderId="35" xfId="4" applyNumberFormat="1" applyFont="1" applyFill="1" applyBorder="1" applyAlignment="1">
      <alignment vertical="center"/>
    </xf>
    <xf numFmtId="168" fontId="15" fillId="9" borderId="35" xfId="4" applyNumberFormat="1" applyFont="1" applyFill="1" applyBorder="1" applyAlignment="1">
      <alignment horizontal="center" vertical="center" wrapText="1"/>
    </xf>
    <xf numFmtId="168" fontId="16" fillId="0" borderId="0" xfId="3" applyNumberFormat="1" applyFont="1" applyFill="1" applyAlignment="1">
      <alignment vertical="center"/>
    </xf>
    <xf numFmtId="168" fontId="15" fillId="0" borderId="36" xfId="4" applyNumberFormat="1" applyFont="1" applyFill="1" applyBorder="1" applyAlignment="1">
      <alignment vertical="center"/>
    </xf>
    <xf numFmtId="10" fontId="15" fillId="0" borderId="36" xfId="2" applyNumberFormat="1" applyFont="1" applyFill="1" applyBorder="1" applyAlignment="1">
      <alignment horizontal="center" vertical="center" wrapText="1"/>
    </xf>
    <xf numFmtId="10" fontId="16" fillId="0" borderId="36" xfId="2" applyNumberFormat="1" applyFont="1" applyFill="1" applyBorder="1" applyAlignment="1">
      <alignment horizontal="center" vertical="center" wrapText="1"/>
    </xf>
    <xf numFmtId="0" fontId="15" fillId="0" borderId="0" xfId="3" applyFont="1" applyAlignment="1">
      <alignment vertical="center" wrapText="1"/>
    </xf>
    <xf numFmtId="168" fontId="12" fillId="0" borderId="0" xfId="0" applyNumberFormat="1" applyFont="1" applyBorder="1"/>
    <xf numFmtId="172" fontId="12" fillId="0" borderId="0" xfId="0" applyNumberFormat="1" applyFont="1" applyBorder="1"/>
    <xf numFmtId="168" fontId="15" fillId="0" borderId="1" xfId="4" applyNumberFormat="1" applyFont="1" applyFill="1" applyBorder="1" applyAlignment="1">
      <alignment horizontal="center" vertical="center" wrapText="1"/>
    </xf>
    <xf numFmtId="0" fontId="15" fillId="0" borderId="1" xfId="5" applyFont="1" applyFill="1" applyBorder="1" applyAlignment="1">
      <alignment horizontal="left" vertical="center" wrapText="1"/>
    </xf>
    <xf numFmtId="6" fontId="15" fillId="3" borderId="1" xfId="4" applyNumberFormat="1" applyFont="1" applyFill="1" applyBorder="1" applyAlignment="1">
      <alignment horizontal="right" vertical="center" wrapText="1"/>
    </xf>
    <xf numFmtId="168" fontId="15" fillId="5" borderId="0" xfId="3" applyNumberFormat="1" applyFont="1" applyFill="1" applyBorder="1" applyAlignment="1">
      <alignment vertical="center"/>
    </xf>
    <xf numFmtId="3" fontId="19" fillId="0" borderId="0" xfId="0" applyNumberFormat="1" applyFont="1"/>
    <xf numFmtId="3" fontId="15" fillId="11" borderId="1" xfId="3" applyNumberFormat="1" applyFont="1" applyFill="1" applyBorder="1" applyAlignment="1">
      <alignment horizontal="left" vertical="center" wrapText="1"/>
    </xf>
    <xf numFmtId="6" fontId="15" fillId="11" borderId="1" xfId="3" applyNumberFormat="1" applyFont="1" applyFill="1" applyBorder="1" applyAlignment="1">
      <alignment horizontal="right" vertical="center" wrapText="1"/>
    </xf>
    <xf numFmtId="6" fontId="15" fillId="0" borderId="0" xfId="3" applyNumberFormat="1" applyFont="1" applyFill="1" applyBorder="1" applyAlignment="1">
      <alignment vertical="center"/>
    </xf>
    <xf numFmtId="43" fontId="15" fillId="0" borderId="0" xfId="3" applyNumberFormat="1" applyFont="1" applyFill="1" applyBorder="1" applyAlignment="1">
      <alignment vertical="center"/>
    </xf>
    <xf numFmtId="6" fontId="15" fillId="12" borderId="1" xfId="3" applyNumberFormat="1" applyFont="1" applyFill="1" applyBorder="1" applyAlignment="1">
      <alignment horizontal="right" vertical="center" wrapText="1"/>
    </xf>
    <xf numFmtId="6" fontId="17" fillId="0" borderId="1" xfId="4" applyNumberFormat="1" applyFont="1" applyFill="1" applyBorder="1" applyAlignment="1">
      <alignment horizontal="right" vertical="center" wrapText="1"/>
    </xf>
    <xf numFmtId="6" fontId="16" fillId="12" borderId="1" xfId="3" applyNumberFormat="1" applyFont="1" applyFill="1" applyBorder="1" applyAlignment="1">
      <alignment horizontal="right" vertical="center" wrapText="1"/>
    </xf>
    <xf numFmtId="6" fontId="18" fillId="0" borderId="1" xfId="4" applyNumberFormat="1" applyFont="1" applyFill="1" applyBorder="1" applyAlignment="1">
      <alignment horizontal="right" vertical="center" wrapText="1"/>
    </xf>
    <xf numFmtId="0" fontId="20" fillId="0" borderId="1" xfId="0" applyFont="1" applyBorder="1" applyAlignment="1">
      <alignment horizontal="center" vertical="center"/>
    </xf>
    <xf numFmtId="3" fontId="21" fillId="0" borderId="1" xfId="0" applyNumberFormat="1" applyFont="1" applyFill="1" applyBorder="1" applyAlignment="1">
      <alignment horizontal="center" vertical="center" wrapText="1"/>
    </xf>
    <xf numFmtId="165" fontId="22" fillId="0" borderId="1" xfId="0" applyNumberFormat="1" applyFont="1" applyFill="1" applyBorder="1" applyAlignment="1">
      <alignment horizontal="center" vertical="center" wrapText="1"/>
    </xf>
    <xf numFmtId="165" fontId="0" fillId="0" borderId="0" xfId="0" applyNumberFormat="1"/>
    <xf numFmtId="0" fontId="12" fillId="0" borderId="1" xfId="0" applyFont="1" applyBorder="1" applyAlignment="1">
      <alignment vertical="top" wrapText="1"/>
    </xf>
    <xf numFmtId="0" fontId="12" fillId="0" borderId="1" xfId="0" applyFont="1" applyBorder="1" applyAlignment="1">
      <alignment vertical="top"/>
    </xf>
    <xf numFmtId="165" fontId="3" fillId="0" borderId="1" xfId="0" applyNumberFormat="1" applyFont="1" applyFill="1" applyBorder="1" applyAlignment="1">
      <alignment horizontal="center" vertical="center"/>
    </xf>
    <xf numFmtId="8" fontId="15" fillId="0" borderId="0" xfId="3" applyNumberFormat="1" applyFont="1" applyFill="1" applyAlignment="1">
      <alignment vertical="center"/>
    </xf>
    <xf numFmtId="8" fontId="15" fillId="5" borderId="0" xfId="3" applyNumberFormat="1" applyFont="1" applyFill="1" applyAlignment="1">
      <alignment vertical="center" wrapText="1"/>
    </xf>
    <xf numFmtId="165" fontId="0" fillId="0" borderId="0" xfId="0" applyNumberFormat="1" applyFill="1"/>
    <xf numFmtId="168" fontId="15" fillId="3" borderId="2" xfId="4" applyNumberFormat="1" applyFont="1" applyFill="1" applyBorder="1" applyAlignment="1">
      <alignment horizontal="center" vertical="center" wrapText="1"/>
    </xf>
    <xf numFmtId="170" fontId="13" fillId="13" borderId="8" xfId="4" applyNumberFormat="1" applyFont="1" applyFill="1" applyBorder="1" applyAlignment="1">
      <alignment horizontal="right" vertical="center" wrapText="1"/>
    </xf>
    <xf numFmtId="168" fontId="9" fillId="5" borderId="6" xfId="4" applyNumberFormat="1" applyFont="1" applyFill="1" applyBorder="1" applyAlignment="1">
      <alignment horizontal="left" vertical="center" wrapText="1"/>
    </xf>
    <xf numFmtId="170" fontId="9" fillId="13" borderId="4" xfId="4" applyNumberFormat="1" applyFont="1" applyFill="1" applyBorder="1" applyAlignment="1">
      <alignment horizontal="right" vertical="center" wrapText="1"/>
    </xf>
    <xf numFmtId="168" fontId="9" fillId="5" borderId="2" xfId="4" applyNumberFormat="1" applyFont="1" applyFill="1" applyBorder="1" applyAlignment="1">
      <alignment horizontal="left" vertical="center" wrapText="1"/>
    </xf>
    <xf numFmtId="170" fontId="9" fillId="5" borderId="2" xfId="4" applyNumberFormat="1" applyFont="1" applyFill="1" applyBorder="1" applyAlignment="1">
      <alignment horizontal="right" vertical="center" wrapText="1"/>
    </xf>
    <xf numFmtId="170" fontId="13" fillId="13" borderId="4" xfId="4" applyNumberFormat="1" applyFont="1" applyFill="1" applyBorder="1" applyAlignment="1">
      <alignment horizontal="right" vertical="center" wrapText="1"/>
    </xf>
    <xf numFmtId="0" fontId="12" fillId="5" borderId="0" xfId="0" applyFont="1" applyFill="1"/>
    <xf numFmtId="8" fontId="23" fillId="11" borderId="1" xfId="0" applyNumberFormat="1" applyFont="1" applyFill="1" applyBorder="1" applyAlignment="1">
      <alignment horizontal="center" vertical="center" wrapText="1"/>
    </xf>
    <xf numFmtId="8" fontId="24" fillId="5" borderId="1" xfId="3" applyNumberFormat="1" applyFont="1" applyFill="1" applyBorder="1" applyAlignment="1">
      <alignment vertical="center"/>
    </xf>
    <xf numFmtId="6" fontId="24" fillId="5" borderId="1" xfId="3" applyNumberFormat="1" applyFont="1" applyFill="1" applyBorder="1" applyAlignment="1">
      <alignment vertical="center"/>
    </xf>
    <xf numFmtId="6" fontId="24" fillId="5" borderId="6" xfId="3" applyNumberFormat="1" applyFont="1" applyFill="1" applyBorder="1" applyAlignment="1">
      <alignment vertical="center"/>
    </xf>
    <xf numFmtId="6" fontId="24" fillId="5" borderId="2" xfId="3" applyNumberFormat="1" applyFont="1" applyFill="1" applyBorder="1" applyAlignment="1">
      <alignment vertical="center"/>
    </xf>
    <xf numFmtId="6" fontId="24" fillId="5" borderId="1" xfId="3" applyNumberFormat="1" applyFont="1" applyFill="1" applyBorder="1" applyAlignment="1">
      <alignment horizontal="center" vertical="center"/>
    </xf>
    <xf numFmtId="6" fontId="24" fillId="0" borderId="2" xfId="3" applyNumberFormat="1" applyFont="1" applyFill="1" applyBorder="1" applyAlignment="1">
      <alignment vertical="center"/>
    </xf>
    <xf numFmtId="0" fontId="17" fillId="3" borderId="1" xfId="6" applyFont="1" applyFill="1" applyBorder="1" applyAlignment="1">
      <alignment horizontal="center" vertical="center" wrapText="1"/>
    </xf>
    <xf numFmtId="168" fontId="17" fillId="3" borderId="1" xfId="4" applyNumberFormat="1" applyFont="1" applyFill="1" applyBorder="1" applyAlignment="1">
      <alignment horizontal="center" vertical="center" wrapText="1"/>
    </xf>
    <xf numFmtId="6" fontId="17" fillId="3" borderId="1" xfId="6" applyNumberFormat="1" applyFont="1" applyFill="1" applyBorder="1" applyAlignment="1">
      <alignment vertical="center" wrapText="1"/>
    </xf>
    <xf numFmtId="6" fontId="17" fillId="8" borderId="1" xfId="4" applyNumberFormat="1" applyFont="1" applyFill="1" applyBorder="1" applyAlignment="1">
      <alignment horizontal="center" vertical="center" wrapText="1"/>
    </xf>
    <xf numFmtId="170" fontId="17" fillId="5" borderId="1" xfId="4" applyNumberFormat="1" applyFont="1" applyFill="1" applyBorder="1" applyAlignment="1">
      <alignment horizontal="right" vertical="center" wrapText="1"/>
    </xf>
    <xf numFmtId="8" fontId="17" fillId="5" borderId="1" xfId="3" applyNumberFormat="1" applyFont="1" applyFill="1" applyBorder="1" applyAlignment="1">
      <alignment vertical="center"/>
    </xf>
    <xf numFmtId="170" fontId="18" fillId="5" borderId="1" xfId="4" applyNumberFormat="1" applyFont="1" applyFill="1" applyBorder="1" applyAlignment="1">
      <alignment horizontal="right" vertical="center" wrapText="1"/>
    </xf>
    <xf numFmtId="6" fontId="18" fillId="3" borderId="1" xfId="6" applyNumberFormat="1" applyFont="1" applyFill="1" applyBorder="1" applyAlignment="1">
      <alignment vertical="center" wrapText="1"/>
    </xf>
    <xf numFmtId="8" fontId="18" fillId="5" borderId="1" xfId="3" applyNumberFormat="1" applyFont="1" applyFill="1" applyBorder="1" applyAlignment="1">
      <alignment vertical="center"/>
    </xf>
    <xf numFmtId="6" fontId="17" fillId="5" borderId="1" xfId="3" applyNumberFormat="1" applyFont="1" applyFill="1" applyBorder="1" applyAlignment="1">
      <alignment vertical="center"/>
    </xf>
    <xf numFmtId="6" fontId="18" fillId="5" borderId="1" xfId="3" applyNumberFormat="1" applyFont="1" applyFill="1" applyBorder="1" applyAlignment="1">
      <alignment vertical="center"/>
    </xf>
    <xf numFmtId="6" fontId="17" fillId="0" borderId="1" xfId="3" applyNumberFormat="1" applyFont="1" applyFill="1" applyBorder="1" applyAlignment="1">
      <alignment vertical="center"/>
    </xf>
    <xf numFmtId="6" fontId="18" fillId="0" borderId="1" xfId="3" applyNumberFormat="1" applyFont="1" applyFill="1" applyBorder="1" applyAlignment="1">
      <alignment vertical="center"/>
    </xf>
    <xf numFmtId="8" fontId="17" fillId="8" borderId="1" xfId="0" applyNumberFormat="1" applyFont="1" applyFill="1" applyBorder="1" applyAlignment="1">
      <alignment vertical="center" wrapText="1"/>
    </xf>
    <xf numFmtId="8" fontId="17" fillId="8" borderId="1" xfId="0" applyNumberFormat="1" applyFont="1" applyFill="1" applyBorder="1" applyAlignment="1">
      <alignment horizontal="right" vertical="center" wrapText="1"/>
    </xf>
    <xf numFmtId="6" fontId="17" fillId="0" borderId="1" xfId="6" applyNumberFormat="1" applyFont="1" applyFill="1" applyBorder="1" applyAlignment="1">
      <alignment vertical="center" wrapText="1"/>
    </xf>
    <xf numFmtId="6" fontId="17" fillId="9" borderId="1" xfId="6" applyNumberFormat="1" applyFont="1" applyFill="1" applyBorder="1" applyAlignment="1">
      <alignment vertical="center" wrapText="1"/>
    </xf>
    <xf numFmtId="0" fontId="18" fillId="0" borderId="1" xfId="4" applyNumberFormat="1" applyFont="1" applyFill="1" applyBorder="1" applyAlignment="1">
      <alignment horizontal="left" vertical="center" wrapText="1"/>
    </xf>
    <xf numFmtId="0" fontId="18" fillId="0" borderId="1" xfId="3" applyFont="1" applyFill="1" applyBorder="1" applyAlignment="1">
      <alignment vertical="center" wrapText="1"/>
    </xf>
    <xf numFmtId="6" fontId="18" fillId="0" borderId="1" xfId="6" applyNumberFormat="1" applyFont="1" applyFill="1" applyBorder="1" applyAlignment="1">
      <alignment vertical="center" wrapText="1"/>
    </xf>
    <xf numFmtId="6" fontId="17" fillId="5" borderId="1" xfId="4" applyNumberFormat="1" applyFont="1" applyFill="1" applyBorder="1" applyAlignment="1">
      <alignment horizontal="right" vertical="center" wrapText="1"/>
    </xf>
    <xf numFmtId="6" fontId="18" fillId="0" borderId="1" xfId="4" applyNumberFormat="1" applyFont="1" applyFill="1" applyBorder="1" applyAlignment="1">
      <alignment horizontal="left" vertical="center" wrapText="1"/>
    </xf>
    <xf numFmtId="6" fontId="17" fillId="5" borderId="1" xfId="6" applyNumberFormat="1" applyFont="1" applyFill="1" applyBorder="1" applyAlignment="1">
      <alignment vertical="center" wrapText="1"/>
    </xf>
    <xf numFmtId="6" fontId="18" fillId="5" borderId="1" xfId="6" applyNumberFormat="1" applyFont="1" applyFill="1" applyBorder="1" applyAlignment="1">
      <alignment vertical="center" wrapText="1"/>
    </xf>
    <xf numFmtId="0" fontId="18" fillId="0" borderId="1" xfId="0" applyFont="1" applyBorder="1" applyAlignment="1">
      <alignment horizontal="center" vertical="center" wrapText="1"/>
    </xf>
    <xf numFmtId="0" fontId="17" fillId="5" borderId="1" xfId="0" applyFont="1" applyFill="1" applyBorder="1" applyAlignment="1">
      <alignment wrapText="1"/>
    </xf>
    <xf numFmtId="6" fontId="17" fillId="5" borderId="1" xfId="6" applyNumberFormat="1" applyFont="1" applyFill="1" applyBorder="1" applyAlignment="1">
      <alignment horizontal="center" vertical="center" wrapText="1"/>
    </xf>
    <xf numFmtId="6" fontId="17" fillId="5" borderId="1" xfId="4"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6" fontId="17" fillId="5" borderId="1" xfId="0" applyNumberFormat="1" applyFont="1" applyFill="1" applyBorder="1" applyAlignment="1">
      <alignment wrapText="1"/>
    </xf>
    <xf numFmtId="168" fontId="17" fillId="5" borderId="1" xfId="0" applyNumberFormat="1" applyFont="1" applyFill="1" applyBorder="1" applyAlignment="1">
      <alignment wrapText="1"/>
    </xf>
    <xf numFmtId="6" fontId="18" fillId="5" borderId="1" xfId="0" applyNumberFormat="1" applyFont="1" applyFill="1" applyBorder="1" applyAlignment="1">
      <alignment wrapText="1"/>
    </xf>
    <xf numFmtId="0" fontId="18" fillId="0" borderId="0" xfId="0" applyFont="1" applyBorder="1" applyAlignment="1">
      <alignment horizontal="center" vertical="center" wrapText="1"/>
    </xf>
    <xf numFmtId="0" fontId="17" fillId="5" borderId="0" xfId="0" applyFont="1" applyFill="1" applyBorder="1" applyAlignment="1">
      <alignment wrapText="1"/>
    </xf>
    <xf numFmtId="168" fontId="18" fillId="5" borderId="0" xfId="0" applyNumberFormat="1" applyFont="1" applyFill="1" applyBorder="1" applyAlignment="1">
      <alignment wrapText="1"/>
    </xf>
    <xf numFmtId="0" fontId="18" fillId="0" borderId="0" xfId="0" applyFont="1" applyAlignment="1">
      <alignment horizontal="center" vertical="center" wrapText="1"/>
    </xf>
    <xf numFmtId="0" fontId="18" fillId="0" borderId="0" xfId="0" applyFont="1" applyAlignment="1">
      <alignment wrapText="1"/>
    </xf>
    <xf numFmtId="168" fontId="18" fillId="0" borderId="0" xfId="0" applyNumberFormat="1" applyFont="1" applyAlignment="1">
      <alignment wrapText="1"/>
    </xf>
    <xf numFmtId="2" fontId="18" fillId="0" borderId="0" xfId="0" applyNumberFormat="1" applyFont="1" applyAlignment="1">
      <alignment wrapText="1"/>
    </xf>
    <xf numFmtId="43" fontId="18" fillId="0" borderId="0" xfId="0" applyNumberFormat="1" applyFont="1" applyAlignment="1">
      <alignment wrapText="1"/>
    </xf>
    <xf numFmtId="171" fontId="18" fillId="0" borderId="0" xfId="0" applyNumberFormat="1" applyFont="1" applyAlignment="1">
      <alignment wrapText="1"/>
    </xf>
    <xf numFmtId="0" fontId="18" fillId="3" borderId="15"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7"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8" fillId="0" borderId="22" xfId="0" applyFont="1" applyBorder="1" applyAlignment="1">
      <alignment horizontal="center" vertical="center" wrapText="1"/>
    </xf>
    <xf numFmtId="0" fontId="17" fillId="0" borderId="16" xfId="0" applyFont="1" applyBorder="1" applyAlignment="1">
      <alignment vertical="center" wrapText="1"/>
    </xf>
    <xf numFmtId="3" fontId="18" fillId="3" borderId="21" xfId="0" applyNumberFormat="1" applyFont="1" applyFill="1" applyBorder="1" applyAlignment="1">
      <alignment wrapText="1"/>
    </xf>
    <xf numFmtId="3" fontId="17" fillId="0" borderId="22" xfId="0" applyNumberFormat="1" applyFont="1" applyFill="1" applyBorder="1" applyAlignment="1">
      <alignment horizontal="right" vertical="center" wrapText="1"/>
    </xf>
    <xf numFmtId="3" fontId="17" fillId="0" borderId="15" xfId="0" applyNumberFormat="1" applyFont="1" applyFill="1" applyBorder="1" applyAlignment="1">
      <alignment horizontal="right" vertical="center" wrapText="1"/>
    </xf>
    <xf numFmtId="3" fontId="17" fillId="0" borderId="21" xfId="0" applyNumberFormat="1" applyFont="1" applyFill="1" applyBorder="1" applyAlignment="1">
      <alignment horizontal="right" vertical="center" wrapText="1"/>
    </xf>
    <xf numFmtId="0" fontId="18" fillId="0" borderId="23" xfId="0" applyFont="1" applyBorder="1" applyAlignment="1">
      <alignment horizontal="center" vertical="center" wrapText="1"/>
    </xf>
    <xf numFmtId="0" fontId="17" fillId="0" borderId="0" xfId="0" applyFont="1" applyBorder="1" applyAlignment="1">
      <alignment vertical="center" wrapText="1"/>
    </xf>
    <xf numFmtId="3" fontId="18" fillId="3" borderId="24" xfId="0" applyNumberFormat="1" applyFont="1" applyFill="1" applyBorder="1" applyAlignment="1">
      <alignment wrapText="1"/>
    </xf>
    <xf numFmtId="3" fontId="17" fillId="0" borderId="23" xfId="0" applyNumberFormat="1" applyFont="1" applyFill="1" applyBorder="1" applyAlignment="1">
      <alignment horizontal="right" vertical="center" wrapText="1"/>
    </xf>
    <xf numFmtId="3" fontId="17" fillId="0" borderId="25" xfId="0" applyNumberFormat="1" applyFont="1" applyFill="1" applyBorder="1" applyAlignment="1">
      <alignment horizontal="right" vertical="center" wrapText="1"/>
    </xf>
    <xf numFmtId="3" fontId="17" fillId="0" borderId="24" xfId="0" applyNumberFormat="1" applyFont="1" applyFill="1" applyBorder="1" applyAlignment="1">
      <alignment horizontal="right" vertical="center" wrapText="1"/>
    </xf>
    <xf numFmtId="0" fontId="18" fillId="0" borderId="26" xfId="0" applyFont="1" applyBorder="1" applyAlignment="1">
      <alignment horizontal="center" vertical="center" wrapText="1"/>
    </xf>
    <xf numFmtId="0" fontId="17" fillId="0" borderId="27" xfId="0" applyFont="1" applyBorder="1" applyAlignment="1">
      <alignment vertical="center" wrapText="1"/>
    </xf>
    <xf numFmtId="3" fontId="18" fillId="3" borderId="28" xfId="0" applyNumberFormat="1" applyFont="1" applyFill="1" applyBorder="1" applyAlignment="1">
      <alignment wrapText="1"/>
    </xf>
    <xf numFmtId="3" fontId="17" fillId="0" borderId="26" xfId="0" applyNumberFormat="1" applyFont="1" applyFill="1" applyBorder="1" applyAlignment="1">
      <alignment horizontal="right" vertical="center" wrapText="1"/>
    </xf>
    <xf numFmtId="3" fontId="17" fillId="0" borderId="29" xfId="0" applyNumberFormat="1" applyFont="1" applyFill="1" applyBorder="1" applyAlignment="1">
      <alignment horizontal="right" vertical="center" wrapText="1"/>
    </xf>
    <xf numFmtId="3" fontId="17" fillId="0" borderId="28" xfId="0" applyNumberFormat="1" applyFont="1" applyFill="1" applyBorder="1" applyAlignment="1">
      <alignment horizontal="right" vertical="center" wrapText="1"/>
    </xf>
    <xf numFmtId="0" fontId="18" fillId="0" borderId="0" xfId="0" applyFont="1" applyFill="1" applyBorder="1" applyAlignment="1">
      <alignment wrapText="1"/>
    </xf>
    <xf numFmtId="0" fontId="17" fillId="0" borderId="0" xfId="0" applyFont="1" applyFill="1" applyBorder="1" applyAlignment="1">
      <alignment horizontal="center" vertical="center" wrapText="1"/>
    </xf>
    <xf numFmtId="3" fontId="18" fillId="0" borderId="0" xfId="0" applyNumberFormat="1" applyFont="1" applyFill="1" applyBorder="1" applyAlignment="1">
      <alignment horizontal="right" vertical="center" wrapText="1"/>
    </xf>
    <xf numFmtId="0" fontId="18" fillId="0" borderId="0" xfId="0" applyFont="1"/>
    <xf numFmtId="3" fontId="12" fillId="0" borderId="1" xfId="0" applyNumberFormat="1" applyFont="1" applyBorder="1" applyAlignment="1">
      <alignment horizontal="center" vertical="center" wrapText="1"/>
    </xf>
    <xf numFmtId="0" fontId="12" fillId="6" borderId="1" xfId="0" applyFont="1" applyFill="1" applyBorder="1" applyAlignment="1">
      <alignment horizontal="center" vertical="center" textRotation="90" wrapText="1"/>
    </xf>
    <xf numFmtId="0" fontId="12" fillId="6" borderId="1" xfId="0" applyFont="1" applyFill="1" applyBorder="1" applyAlignment="1">
      <alignment horizontal="left" vertical="center" wrapText="1"/>
    </xf>
    <xf numFmtId="0" fontId="12" fillId="0" borderId="3" xfId="0" applyFont="1" applyBorder="1" applyAlignment="1">
      <alignment vertical="center" wrapText="1"/>
    </xf>
    <xf numFmtId="0" fontId="12" fillId="0" borderId="6" xfId="0" applyFont="1" applyBorder="1" applyAlignment="1">
      <alignment vertical="center" wrapText="1"/>
    </xf>
    <xf numFmtId="0" fontId="12" fillId="0" borderId="1" xfId="0" applyFont="1" applyBorder="1" applyAlignment="1">
      <alignment vertical="center" textRotation="90" wrapText="1"/>
    </xf>
    <xf numFmtId="10" fontId="12" fillId="0" borderId="1" xfId="2" applyNumberFormat="1" applyFont="1" applyBorder="1" applyAlignment="1">
      <alignment horizontal="center" vertical="center"/>
    </xf>
    <xf numFmtId="0" fontId="12" fillId="0" borderId="2" xfId="0" applyFont="1" applyFill="1" applyBorder="1" applyAlignment="1">
      <alignment horizontal="center" vertical="center" textRotation="90" wrapText="1"/>
    </xf>
    <xf numFmtId="0" fontId="12" fillId="0" borderId="3" xfId="0" applyFont="1" applyFill="1" applyBorder="1" applyAlignment="1">
      <alignment horizontal="center" vertical="center" textRotation="90" wrapText="1"/>
    </xf>
    <xf numFmtId="0" fontId="12" fillId="0" borderId="6" xfId="0" applyFont="1" applyFill="1" applyBorder="1" applyAlignment="1">
      <alignment horizontal="center" vertical="center" textRotation="90" wrapText="1"/>
    </xf>
    <xf numFmtId="0" fontId="12" fillId="0" borderId="6" xfId="0" applyFont="1" applyBorder="1" applyAlignment="1">
      <alignment horizontal="center" vertical="center" textRotation="90" wrapText="1"/>
    </xf>
    <xf numFmtId="6" fontId="17" fillId="0" borderId="0" xfId="4" applyNumberFormat="1" applyFont="1" applyFill="1" applyBorder="1" applyAlignment="1">
      <alignment horizontal="right" vertical="center" wrapText="1"/>
    </xf>
    <xf numFmtId="6" fontId="17" fillId="0" borderId="0" xfId="4" applyNumberFormat="1" applyFont="1" applyFill="1" applyBorder="1" applyAlignment="1">
      <alignment horizontal="left" vertical="center" wrapText="1"/>
    </xf>
    <xf numFmtId="0" fontId="12" fillId="6" borderId="5" xfId="0" applyFont="1" applyFill="1" applyBorder="1" applyAlignment="1">
      <alignment horizontal="center" vertical="center" wrapText="1"/>
    </xf>
    <xf numFmtId="0" fontId="12" fillId="0" borderId="6" xfId="0" applyFont="1" applyBorder="1" applyAlignment="1">
      <alignment horizontal="left" vertical="center" textRotation="90" wrapText="1"/>
    </xf>
    <xf numFmtId="0" fontId="12" fillId="0" borderId="3" xfId="0" applyFont="1" applyBorder="1" applyAlignment="1">
      <alignment horizontal="left" vertical="center" textRotation="90" wrapText="1"/>
    </xf>
    <xf numFmtId="0" fontId="11" fillId="4" borderId="2" xfId="0" applyFont="1" applyFill="1" applyBorder="1" applyAlignment="1">
      <alignment horizontal="center" vertical="center" wrapText="1"/>
    </xf>
    <xf numFmtId="174" fontId="15" fillId="0" borderId="0" xfId="3" applyNumberFormat="1" applyFont="1" applyFill="1" applyBorder="1" applyAlignment="1">
      <alignment vertical="center"/>
    </xf>
    <xf numFmtId="0" fontId="12" fillId="2" borderId="0" xfId="0" applyFont="1" applyFill="1" applyBorder="1" applyAlignment="1">
      <alignment horizontal="center" vertical="center"/>
    </xf>
    <xf numFmtId="0" fontId="11" fillId="4" borderId="0" xfId="0" applyFont="1" applyFill="1" applyBorder="1" applyAlignment="1">
      <alignment horizontal="center" vertical="center" wrapText="1"/>
    </xf>
    <xf numFmtId="0" fontId="12" fillId="0" borderId="0" xfId="0" applyFont="1" applyBorder="1" applyAlignment="1">
      <alignment horizontal="center" vertical="center"/>
    </xf>
    <xf numFmtId="3" fontId="12" fillId="0" borderId="0" xfId="0" applyNumberFormat="1" applyFont="1" applyBorder="1" applyAlignment="1">
      <alignment horizontal="center" vertical="center" wrapText="1"/>
    </xf>
    <xf numFmtId="0" fontId="12" fillId="0" borderId="0" xfId="0" applyFont="1" applyFill="1" applyBorder="1" applyAlignment="1">
      <alignment horizontal="center" vertical="center"/>
    </xf>
    <xf numFmtId="3" fontId="12" fillId="0" borderId="0" xfId="0" applyNumberFormat="1" applyFont="1" applyBorder="1" applyAlignment="1">
      <alignment horizontal="center" vertical="center"/>
    </xf>
    <xf numFmtId="167" fontId="12" fillId="0" borderId="0" xfId="2" applyNumberFormat="1" applyFont="1" applyBorder="1" applyAlignment="1">
      <alignment horizontal="center" vertical="center"/>
    </xf>
    <xf numFmtId="10" fontId="12" fillId="0" borderId="0" xfId="2" applyNumberFormat="1" applyFont="1" applyBorder="1" applyAlignment="1">
      <alignment horizontal="center" vertical="center"/>
    </xf>
    <xf numFmtId="3" fontId="12" fillId="0" borderId="0" xfId="0" applyNumberFormat="1" applyFont="1" applyAlignment="1">
      <alignment horizontal="center" vertical="center"/>
    </xf>
    <xf numFmtId="3" fontId="12" fillId="0" borderId="0" xfId="0" applyNumberFormat="1" applyFont="1" applyFill="1" applyBorder="1" applyAlignment="1">
      <alignment horizontal="center" vertical="center"/>
    </xf>
    <xf numFmtId="175" fontId="12" fillId="0" borderId="0" xfId="2" applyNumberFormat="1" applyFont="1"/>
    <xf numFmtId="10" fontId="12" fillId="0" borderId="0" xfId="2" applyNumberFormat="1" applyFont="1" applyAlignment="1">
      <alignment horizontal="center" vertical="center"/>
    </xf>
    <xf numFmtId="0" fontId="0" fillId="0" borderId="1" xfId="0" applyFont="1" applyFill="1" applyBorder="1" applyAlignment="1">
      <alignment horizontal="center" vertical="center"/>
    </xf>
    <xf numFmtId="0" fontId="0" fillId="0" borderId="1" xfId="0" applyFill="1" applyBorder="1"/>
    <xf numFmtId="173" fontId="8" fillId="0" borderId="1"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xf>
    <xf numFmtId="3" fontId="3" fillId="5" borderId="1" xfId="0" applyNumberFormat="1" applyFont="1" applyFill="1" applyBorder="1" applyAlignment="1">
      <alignment wrapText="1"/>
    </xf>
    <xf numFmtId="3" fontId="0" fillId="0" borderId="0" xfId="0" applyNumberFormat="1"/>
    <xf numFmtId="3" fontId="11" fillId="0" borderId="1" xfId="0" applyNumberFormat="1" applyFont="1" applyFill="1" applyBorder="1" applyAlignment="1">
      <alignment wrapText="1"/>
    </xf>
    <xf numFmtId="3" fontId="12" fillId="0" borderId="1" xfId="1" applyNumberFormat="1" applyFont="1" applyFill="1" applyBorder="1" applyAlignment="1">
      <alignment wrapText="1"/>
    </xf>
    <xf numFmtId="3" fontId="12" fillId="0" borderId="1" xfId="0" applyNumberFormat="1" applyFont="1" applyFill="1" applyBorder="1" applyAlignment="1">
      <alignment horizontal="center" wrapText="1"/>
    </xf>
    <xf numFmtId="3" fontId="11" fillId="0" borderId="1" xfId="0" applyNumberFormat="1" applyFont="1" applyFill="1" applyBorder="1"/>
    <xf numFmtId="165" fontId="0" fillId="0" borderId="1" xfId="0" applyNumberFormat="1" applyBorder="1" applyAlignment="1">
      <alignment horizontal="center" vertical="center"/>
    </xf>
    <xf numFmtId="0" fontId="0" fillId="0" borderId="0" xfId="0" applyAlignment="1">
      <alignment horizontal="center"/>
    </xf>
    <xf numFmtId="4" fontId="0" fillId="0" borderId="0" xfId="0" applyNumberFormat="1"/>
    <xf numFmtId="0" fontId="0" fillId="0" borderId="0" xfId="0" applyAlignment="1">
      <alignment horizontal="left"/>
    </xf>
    <xf numFmtId="0" fontId="26" fillId="5" borderId="5" xfId="0" applyFont="1" applyFill="1" applyBorder="1" applyAlignment="1"/>
    <xf numFmtId="4" fontId="0" fillId="0" borderId="42" xfId="0" applyNumberFormat="1" applyFont="1" applyBorder="1"/>
    <xf numFmtId="4" fontId="3" fillId="9" borderId="43" xfId="0" applyNumberFormat="1" applyFont="1" applyFill="1" applyBorder="1"/>
    <xf numFmtId="4" fontId="3" fillId="9" borderId="42" xfId="0" applyNumberFormat="1" applyFont="1" applyFill="1" applyBorder="1"/>
    <xf numFmtId="0" fontId="26" fillId="15" borderId="5" xfId="0" applyFont="1" applyFill="1" applyBorder="1" applyAlignment="1">
      <alignment vertical="center"/>
    </xf>
    <xf numFmtId="3" fontId="26" fillId="15" borderId="5" xfId="0" applyNumberFormat="1" applyFont="1" applyFill="1" applyBorder="1" applyAlignment="1"/>
    <xf numFmtId="3" fontId="26" fillId="15" borderId="5" xfId="0" applyNumberFormat="1" applyFont="1" applyFill="1" applyBorder="1" applyAlignment="1">
      <alignment horizontal="left"/>
    </xf>
    <xf numFmtId="0" fontId="26" fillId="15" borderId="5" xfId="0" applyFont="1" applyFill="1" applyBorder="1" applyAlignment="1"/>
    <xf numFmtId="0" fontId="26" fillId="15" borderId="5" xfId="0" applyFont="1" applyFill="1" applyBorder="1" applyAlignment="1">
      <alignment horizontal="left" vertical="center"/>
    </xf>
    <xf numFmtId="3" fontId="0" fillId="15" borderId="5" xfId="0" applyNumberFormat="1" applyFont="1" applyFill="1" applyBorder="1" applyAlignment="1">
      <alignment horizontal="left"/>
    </xf>
    <xf numFmtId="0" fontId="12" fillId="5" borderId="44" xfId="0" applyFont="1" applyFill="1" applyBorder="1" applyAlignment="1">
      <alignment horizontal="left"/>
    </xf>
    <xf numFmtId="0" fontId="12" fillId="5" borderId="44" xfId="0" applyFont="1" applyFill="1" applyBorder="1"/>
    <xf numFmtId="0" fontId="0" fillId="0" borderId="0" xfId="0" applyAlignment="1">
      <alignment horizontal="right"/>
    </xf>
    <xf numFmtId="4" fontId="0" fillId="0" borderId="0" xfId="0" applyNumberFormat="1" applyAlignment="1">
      <alignment horizontal="right"/>
    </xf>
    <xf numFmtId="4" fontId="3" fillId="0" borderId="0" xfId="0" applyNumberFormat="1" applyFont="1"/>
    <xf numFmtId="0" fontId="28" fillId="16" borderId="49" xfId="0" applyFont="1" applyFill="1" applyBorder="1" applyAlignment="1">
      <alignment horizontal="center" vertical="center" wrapText="1"/>
    </xf>
    <xf numFmtId="0" fontId="28" fillId="16" borderId="50" xfId="0" applyFont="1" applyFill="1" applyBorder="1" applyAlignment="1">
      <alignment horizontal="center" vertical="center" wrapText="1"/>
    </xf>
    <xf numFmtId="0" fontId="0" fillId="0" borderId="0" xfId="0" applyAlignment="1">
      <alignment vertical="center"/>
    </xf>
    <xf numFmtId="0" fontId="3" fillId="0" borderId="0" xfId="0" applyFont="1"/>
    <xf numFmtId="0" fontId="3" fillId="0" borderId="0" xfId="0" applyFont="1" applyAlignment="1">
      <alignment horizontal="center" vertical="center"/>
    </xf>
    <xf numFmtId="4" fontId="0" fillId="0" borderId="0" xfId="0" applyNumberFormat="1" applyAlignment="1">
      <alignment horizontal="center" vertical="center"/>
    </xf>
    <xf numFmtId="3" fontId="0" fillId="0" borderId="0" xfId="0" applyNumberFormat="1" applyAlignment="1">
      <alignment horizontal="center" vertical="center"/>
    </xf>
    <xf numFmtId="4" fontId="29" fillId="0" borderId="0" xfId="0" applyNumberFormat="1" applyFont="1"/>
    <xf numFmtId="0" fontId="0" fillId="17" borderId="0" xfId="0" applyFill="1"/>
    <xf numFmtId="4" fontId="0"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0" fontId="0" fillId="0" borderId="1" xfId="0" applyBorder="1"/>
    <xf numFmtId="165" fontId="0" fillId="0" borderId="1" xfId="0" applyNumberFormat="1" applyBorder="1"/>
    <xf numFmtId="4" fontId="20" fillId="0" borderId="1" xfId="0" applyNumberFormat="1" applyFont="1" applyBorder="1" applyAlignment="1">
      <alignment horizontal="center" vertical="center"/>
    </xf>
    <xf numFmtId="166" fontId="22" fillId="0" borderId="1" xfId="0" applyNumberFormat="1" applyFont="1" applyFill="1" applyBorder="1" applyAlignment="1">
      <alignment horizontal="center" vertical="center" wrapText="1"/>
    </xf>
    <xf numFmtId="4" fontId="20" fillId="0" borderId="1" xfId="0" applyNumberFormat="1" applyFont="1" applyFill="1" applyBorder="1" applyAlignment="1">
      <alignment horizontal="center" vertical="center"/>
    </xf>
    <xf numFmtId="3" fontId="12" fillId="5" borderId="1" xfId="0" applyNumberFormat="1" applyFont="1" applyFill="1" applyBorder="1" applyAlignment="1">
      <alignment wrapText="1"/>
    </xf>
    <xf numFmtId="0" fontId="12" fillId="5" borderId="1" xfId="0" applyFont="1" applyFill="1" applyBorder="1" applyAlignment="1">
      <alignment horizontal="center" vertical="center"/>
    </xf>
    <xf numFmtId="0" fontId="12" fillId="0" borderId="3" xfId="0" applyFont="1" applyBorder="1" applyAlignment="1">
      <alignment horizontal="center" vertical="center" textRotation="90" wrapText="1"/>
    </xf>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Fill="1" applyBorder="1" applyAlignment="1">
      <alignment horizontal="center" vertical="center" textRotation="90" wrapText="1"/>
    </xf>
    <xf numFmtId="0" fontId="12" fillId="0" borderId="1" xfId="0"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0" fontId="12" fillId="0" borderId="1" xfId="0" applyFont="1" applyBorder="1" applyAlignment="1">
      <alignment horizontal="center" vertical="center"/>
    </xf>
    <xf numFmtId="0" fontId="12" fillId="0" borderId="1" xfId="0" applyFont="1" applyFill="1" applyBorder="1" applyAlignment="1">
      <alignment horizontal="left" vertical="center" wrapText="1"/>
    </xf>
    <xf numFmtId="0" fontId="12" fillId="6" borderId="6" xfId="0" applyFont="1" applyFill="1" applyBorder="1" applyAlignment="1">
      <alignment horizontal="center" vertical="center" wrapText="1"/>
    </xf>
    <xf numFmtId="0" fontId="0" fillId="0" borderId="1" xfId="0" applyFont="1" applyFill="1" applyBorder="1" applyAlignment="1">
      <alignment horizontal="left" vertical="top" wrapText="1"/>
    </xf>
    <xf numFmtId="3" fontId="12" fillId="0" borderId="1" xfId="0" applyNumberFormat="1" applyFont="1" applyFill="1" applyBorder="1" applyAlignment="1">
      <alignment horizontal="left" vertical="top" wrapText="1"/>
    </xf>
    <xf numFmtId="165" fontId="12" fillId="0" borderId="1" xfId="0" applyNumberFormat="1" applyFont="1" applyBorder="1" applyAlignment="1">
      <alignment horizontal="center" vertical="top" wrapText="1"/>
    </xf>
    <xf numFmtId="0" fontId="12" fillId="0" borderId="2"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38" xfId="0" applyFont="1" applyBorder="1" applyAlignment="1">
      <alignment horizontal="center" vertical="center" textRotation="90" wrapText="1"/>
    </xf>
    <xf numFmtId="0" fontId="12" fillId="0" borderId="40" xfId="0" applyFont="1" applyBorder="1" applyAlignment="1">
      <alignment horizontal="center" vertical="center" textRotation="90" wrapText="1"/>
    </xf>
    <xf numFmtId="0" fontId="0" fillId="0" borderId="1" xfId="0" applyFont="1" applyBorder="1" applyAlignment="1">
      <alignment horizontal="center" vertical="center" wrapText="1"/>
    </xf>
    <xf numFmtId="0" fontId="12" fillId="0" borderId="39" xfId="0" applyFont="1" applyBorder="1" applyAlignment="1">
      <alignment horizontal="center" vertical="center" textRotation="90" wrapText="1"/>
    </xf>
    <xf numFmtId="0" fontId="12" fillId="6" borderId="2"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25" fillId="6" borderId="41" xfId="0" applyFont="1" applyFill="1" applyBorder="1" applyAlignment="1">
      <alignment horizontal="center" vertical="center" wrapText="1"/>
    </xf>
    <xf numFmtId="0" fontId="25" fillId="6" borderId="38" xfId="0" applyFont="1" applyFill="1" applyBorder="1" applyAlignment="1">
      <alignment horizontal="center" vertical="center" wrapText="1"/>
    </xf>
    <xf numFmtId="0" fontId="25" fillId="6" borderId="9" xfId="0" applyFont="1" applyFill="1" applyBorder="1" applyAlignment="1">
      <alignment horizontal="center" vertical="center" wrapText="1"/>
    </xf>
    <xf numFmtId="0" fontId="25" fillId="6" borderId="0" xfId="0" applyFont="1" applyFill="1" applyBorder="1" applyAlignment="1">
      <alignment horizontal="center" vertical="center" wrapText="1"/>
    </xf>
    <xf numFmtId="0" fontId="25" fillId="6" borderId="39" xfId="0" applyFont="1" applyFill="1" applyBorder="1" applyAlignment="1">
      <alignment horizontal="center" vertical="center" wrapText="1"/>
    </xf>
    <xf numFmtId="0" fontId="25" fillId="6" borderId="8" xfId="0" applyFont="1" applyFill="1" applyBorder="1" applyAlignment="1">
      <alignment horizontal="center" vertical="center" wrapText="1"/>
    </xf>
    <xf numFmtId="0" fontId="25" fillId="6" borderId="13" xfId="0" applyFont="1" applyFill="1" applyBorder="1" applyAlignment="1">
      <alignment horizontal="center" vertical="center" wrapText="1"/>
    </xf>
    <xf numFmtId="0" fontId="25" fillId="6" borderId="40"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Border="1" applyAlignment="1">
      <alignment horizontal="center" vertical="center"/>
    </xf>
    <xf numFmtId="0" fontId="11" fillId="2" borderId="1" xfId="3" applyFont="1" applyFill="1" applyBorder="1" applyAlignment="1">
      <alignment horizontal="left" vertical="top"/>
    </xf>
    <xf numFmtId="0" fontId="12" fillId="0" borderId="5" xfId="0" applyFont="1" applyBorder="1" applyAlignment="1">
      <alignment horizontal="left" vertical="center" textRotation="90" wrapText="1"/>
    </xf>
    <xf numFmtId="0" fontId="12" fillId="0" borderId="1" xfId="0" applyFont="1" applyBorder="1" applyAlignment="1">
      <alignment horizontal="center" vertical="center" textRotation="90" wrapText="1"/>
    </xf>
    <xf numFmtId="0" fontId="12" fillId="0" borderId="1" xfId="0" applyFont="1" applyBorder="1" applyAlignment="1">
      <alignment horizontal="left" vertical="center" wrapText="1"/>
    </xf>
    <xf numFmtId="0" fontId="12" fillId="0" borderId="1" xfId="0" applyFont="1" applyBorder="1" applyAlignment="1">
      <alignment horizontal="left" vertical="center" textRotation="90" wrapText="1"/>
    </xf>
    <xf numFmtId="3" fontId="12" fillId="0" borderId="1" xfId="0" applyNumberFormat="1" applyFont="1" applyFill="1" applyBorder="1" applyAlignment="1">
      <alignment horizontal="center" vertical="center" wrapText="1"/>
    </xf>
    <xf numFmtId="0" fontId="12" fillId="0" borderId="3" xfId="0" applyFont="1" applyBorder="1" applyAlignment="1">
      <alignment horizontal="center" vertical="center" wrapText="1"/>
    </xf>
    <xf numFmtId="0" fontId="3" fillId="5" borderId="1" xfId="0" applyFont="1" applyFill="1" applyBorder="1" applyAlignment="1">
      <alignment horizontal="left"/>
    </xf>
    <xf numFmtId="0" fontId="12" fillId="0" borderId="1" xfId="0" applyFont="1" applyFill="1" applyBorder="1" applyAlignment="1">
      <alignment horizontal="center" vertical="center" textRotation="90" wrapText="1"/>
    </xf>
    <xf numFmtId="0" fontId="12" fillId="0" borderId="1" xfId="0" applyFont="1" applyFill="1" applyBorder="1" applyAlignment="1">
      <alignment horizontal="center" vertical="center" wrapText="1"/>
    </xf>
    <xf numFmtId="0" fontId="11" fillId="6" borderId="1" xfId="0" applyFont="1" applyFill="1" applyBorder="1" applyAlignment="1">
      <alignment horizontal="left" vertical="center" wrapText="1"/>
    </xf>
    <xf numFmtId="0" fontId="12" fillId="5" borderId="2"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1" fillId="6" borderId="4" xfId="0" applyFont="1" applyFill="1" applyBorder="1" applyAlignment="1">
      <alignment horizontal="left" vertical="center" wrapText="1"/>
    </xf>
    <xf numFmtId="0" fontId="11" fillId="6" borderId="14" xfId="0" applyFont="1" applyFill="1" applyBorder="1" applyAlignment="1">
      <alignment horizontal="left" vertical="center" wrapText="1"/>
    </xf>
    <xf numFmtId="0" fontId="11" fillId="6" borderId="5" xfId="0" applyFont="1" applyFill="1" applyBorder="1" applyAlignment="1">
      <alignment horizontal="left" vertical="center" wrapText="1"/>
    </xf>
    <xf numFmtId="0" fontId="12" fillId="0" borderId="2" xfId="0" applyFont="1" applyBorder="1" applyAlignment="1">
      <alignment horizontal="center" vertical="center" textRotation="90" wrapText="1"/>
    </xf>
    <xf numFmtId="0" fontId="12" fillId="0" borderId="3" xfId="0" applyFont="1" applyBorder="1" applyAlignment="1">
      <alignment horizontal="center" vertical="center" textRotation="90" wrapText="1"/>
    </xf>
    <xf numFmtId="0" fontId="12" fillId="0" borderId="5" xfId="0" applyFont="1" applyBorder="1" applyAlignment="1">
      <alignment horizontal="center" vertical="center" textRotation="90" wrapText="1"/>
    </xf>
    <xf numFmtId="0" fontId="0" fillId="0" borderId="4" xfId="0" applyFill="1" applyBorder="1" applyAlignment="1">
      <alignment horizontal="left" vertical="top" wrapText="1"/>
    </xf>
    <xf numFmtId="0" fontId="0" fillId="0" borderId="5" xfId="0" applyFill="1" applyBorder="1" applyAlignment="1">
      <alignment horizontal="left" vertical="top" wrapText="1"/>
    </xf>
    <xf numFmtId="0" fontId="20" fillId="0" borderId="4" xfId="0" applyFont="1" applyBorder="1" applyAlignment="1">
      <alignment horizontal="center" vertical="top" wrapText="1"/>
    </xf>
    <xf numFmtId="0" fontId="20" fillId="0" borderId="5" xfId="0" applyFont="1" applyBorder="1" applyAlignment="1">
      <alignment horizontal="center" vertical="top"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0" fillId="0" borderId="1" xfId="0" applyFont="1" applyFill="1" applyBorder="1" applyAlignment="1">
      <alignment horizontal="left" vertical="top" wrapText="1"/>
    </xf>
    <xf numFmtId="0" fontId="3" fillId="3" borderId="1" xfId="0" applyFont="1" applyFill="1" applyBorder="1" applyAlignment="1">
      <alignment horizontal="left" vertical="top"/>
    </xf>
    <xf numFmtId="0" fontId="3" fillId="0" borderId="1" xfId="0" applyFont="1" applyFill="1" applyBorder="1" applyAlignment="1">
      <alignment horizontal="center" vertical="center" wrapText="1"/>
    </xf>
    <xf numFmtId="3" fontId="6" fillId="0" borderId="1" xfId="0" applyNumberFormat="1" applyFont="1" applyFill="1" applyBorder="1" applyAlignment="1">
      <alignment horizontal="left" vertical="top" wrapText="1"/>
    </xf>
    <xf numFmtId="0" fontId="5" fillId="2" borderId="1" xfId="3" applyFont="1" applyFill="1" applyBorder="1" applyAlignment="1">
      <alignment horizontal="left" vertical="top"/>
    </xf>
    <xf numFmtId="3" fontId="7"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0" fontId="0" fillId="5" borderId="1" xfId="0" applyFont="1" applyFill="1"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3" fontId="0" fillId="0" borderId="1" xfId="0" applyNumberFormat="1" applyFont="1" applyBorder="1" applyAlignment="1">
      <alignment horizontal="left" vertical="top" wrapText="1"/>
    </xf>
    <xf numFmtId="3" fontId="6" fillId="0" borderId="1" xfId="0" applyNumberFormat="1" applyFont="1" applyBorder="1" applyAlignment="1">
      <alignment horizontal="left" vertical="top" wrapText="1"/>
    </xf>
    <xf numFmtId="3" fontId="3" fillId="0" borderId="1" xfId="0" applyNumberFormat="1" applyFont="1" applyFill="1" applyBorder="1" applyAlignment="1">
      <alignment horizontal="center" vertical="center" wrapText="1"/>
    </xf>
    <xf numFmtId="3" fontId="11" fillId="0" borderId="1" xfId="0" applyNumberFormat="1" applyFont="1" applyFill="1" applyBorder="1" applyAlignment="1">
      <alignment horizontal="left" vertical="top" wrapText="1"/>
    </xf>
    <xf numFmtId="3" fontId="12" fillId="0" borderId="1" xfId="0" applyNumberFormat="1" applyFont="1" applyFill="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3" fontId="6" fillId="0" borderId="1" xfId="0" applyNumberFormat="1" applyFont="1" applyFill="1" applyBorder="1" applyAlignment="1">
      <alignment horizontal="left" vertical="center" wrapText="1"/>
    </xf>
    <xf numFmtId="0" fontId="0" fillId="0" borderId="4" xfId="0" applyFont="1" applyFill="1" applyBorder="1" applyAlignment="1">
      <alignment horizontal="left" vertical="top" wrapText="1"/>
    </xf>
    <xf numFmtId="0" fontId="0" fillId="0" borderId="5"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5" xfId="0" applyFont="1" applyFill="1" applyBorder="1" applyAlignment="1">
      <alignment horizontal="left" vertical="top" wrapText="1"/>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20" fillId="0" borderId="1" xfId="0" applyFont="1" applyFill="1" applyBorder="1" applyAlignment="1">
      <alignment horizontal="left" vertical="top" wrapText="1"/>
    </xf>
    <xf numFmtId="0" fontId="0" fillId="0" borderId="37" xfId="0" applyFont="1" applyFill="1" applyBorder="1" applyAlignment="1">
      <alignment horizontal="left" vertical="top" wrapText="1"/>
    </xf>
    <xf numFmtId="0" fontId="0" fillId="0" borderId="37" xfId="0" applyBorder="1" applyAlignment="1">
      <alignment horizontal="left" vertical="top" wrapText="1"/>
    </xf>
    <xf numFmtId="0" fontId="20" fillId="0" borderId="37" xfId="0" applyFont="1" applyFill="1" applyBorder="1" applyAlignment="1">
      <alignment horizontal="left" vertical="top" wrapText="1"/>
    </xf>
    <xf numFmtId="0" fontId="20" fillId="0" borderId="5" xfId="0" applyFont="1" applyFill="1" applyBorder="1" applyAlignment="1">
      <alignment horizontal="left" vertical="top" wrapText="1"/>
    </xf>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2" fillId="2" borderId="1" xfId="3" applyFont="1" applyFill="1" applyBorder="1" applyAlignment="1">
      <alignment horizontal="center" vertical="top"/>
    </xf>
    <xf numFmtId="0" fontId="29" fillId="0" borderId="48" xfId="0" applyFont="1" applyBorder="1" applyAlignment="1">
      <alignment horizontal="left" vertical="center"/>
    </xf>
    <xf numFmtId="0" fontId="27" fillId="16" borderId="45" xfId="0" applyFont="1" applyFill="1" applyBorder="1" applyAlignment="1">
      <alignment vertical="center"/>
    </xf>
    <xf numFmtId="0" fontId="27" fillId="16" borderId="46" xfId="0" applyFont="1" applyFill="1" applyBorder="1" applyAlignment="1">
      <alignment vertical="center"/>
    </xf>
    <xf numFmtId="0" fontId="28" fillId="16" borderId="47" xfId="0" applyFont="1" applyFill="1" applyBorder="1" applyAlignment="1">
      <alignment vertical="center"/>
    </xf>
    <xf numFmtId="0" fontId="28" fillId="16" borderId="48" xfId="0" applyFont="1" applyFill="1" applyBorder="1" applyAlignment="1">
      <alignment vertical="center"/>
    </xf>
    <xf numFmtId="0" fontId="28" fillId="16" borderId="47" xfId="0" applyFont="1" applyFill="1" applyBorder="1" applyAlignment="1">
      <alignment vertical="center" wrapText="1"/>
    </xf>
    <xf numFmtId="0" fontId="28" fillId="16" borderId="48" xfId="0" applyFont="1" applyFill="1" applyBorder="1" applyAlignment="1">
      <alignment vertical="center" wrapText="1"/>
    </xf>
    <xf numFmtId="0" fontId="9" fillId="0" borderId="0" xfId="0" applyFont="1" applyAlignment="1">
      <alignment horizontal="left"/>
    </xf>
    <xf numFmtId="0" fontId="15" fillId="2" borderId="0" xfId="3" applyFont="1" applyFill="1" applyAlignment="1">
      <alignment horizontal="left" vertical="center"/>
    </xf>
    <xf numFmtId="6" fontId="17" fillId="5" borderId="4" xfId="4" applyNumberFormat="1" applyFont="1" applyFill="1" applyBorder="1" applyAlignment="1">
      <alignment horizontal="center" vertical="center" wrapText="1"/>
    </xf>
    <xf numFmtId="6" fontId="17" fillId="5" borderId="5" xfId="4" applyNumberFormat="1" applyFont="1" applyFill="1" applyBorder="1" applyAlignment="1">
      <alignment horizontal="center" vertical="center" wrapText="1"/>
    </xf>
    <xf numFmtId="3" fontId="17" fillId="5" borderId="1" xfId="3" applyNumberFormat="1" applyFont="1" applyFill="1" applyBorder="1" applyAlignment="1">
      <alignment horizontal="left" vertical="center" wrapText="1"/>
    </xf>
    <xf numFmtId="8" fontId="18" fillId="0" borderId="2" xfId="3" applyNumberFormat="1" applyFont="1" applyFill="1" applyBorder="1" applyAlignment="1">
      <alignment horizontal="center" vertical="center" wrapText="1"/>
    </xf>
    <xf numFmtId="8" fontId="18" fillId="0" borderId="6" xfId="3" applyNumberFormat="1" applyFont="1" applyFill="1" applyBorder="1" applyAlignment="1">
      <alignment horizontal="center" vertical="center" wrapText="1"/>
    </xf>
    <xf numFmtId="165" fontId="12" fillId="0" borderId="9" xfId="0" applyNumberFormat="1" applyFont="1" applyBorder="1" applyAlignment="1">
      <alignment horizontal="center" vertical="top"/>
    </xf>
    <xf numFmtId="3" fontId="12" fillId="0" borderId="1" xfId="0" applyNumberFormat="1" applyFont="1" applyFill="1" applyBorder="1" applyAlignment="1">
      <alignment horizontal="center" vertical="top" wrapText="1"/>
    </xf>
    <xf numFmtId="165" fontId="12" fillId="0" borderId="1" xfId="0" applyNumberFormat="1" applyFont="1" applyBorder="1" applyAlignment="1">
      <alignment horizontal="center" vertical="top" wrapText="1"/>
    </xf>
    <xf numFmtId="0" fontId="12" fillId="0" borderId="1" xfId="0" applyFont="1" applyFill="1" applyBorder="1" applyAlignment="1">
      <alignment horizontal="center" vertical="top" wrapText="1"/>
    </xf>
    <xf numFmtId="6" fontId="18" fillId="5" borderId="2" xfId="3" applyNumberFormat="1" applyFont="1" applyFill="1" applyBorder="1" applyAlignment="1">
      <alignment horizontal="center" vertical="center"/>
    </xf>
    <xf numFmtId="6" fontId="18" fillId="5" borderId="6" xfId="3" applyNumberFormat="1" applyFont="1" applyFill="1" applyBorder="1" applyAlignment="1">
      <alignment horizontal="center" vertical="center"/>
    </xf>
    <xf numFmtId="3" fontId="17" fillId="8" borderId="4" xfId="3" applyNumberFormat="1" applyFont="1" applyFill="1" applyBorder="1" applyAlignment="1">
      <alignment horizontal="left" vertical="center" wrapText="1"/>
    </xf>
    <xf numFmtId="3" fontId="17" fillId="8" borderId="5" xfId="3" applyNumberFormat="1" applyFont="1" applyFill="1" applyBorder="1" applyAlignment="1">
      <alignment horizontal="left" vertical="center" wrapText="1"/>
    </xf>
    <xf numFmtId="0" fontId="17" fillId="2" borderId="13" xfId="3" applyFont="1" applyFill="1" applyBorder="1" applyAlignment="1">
      <alignment horizontal="center" vertical="center"/>
    </xf>
    <xf numFmtId="0" fontId="17" fillId="3" borderId="1" xfId="5" applyFont="1" applyFill="1" applyBorder="1" applyAlignment="1">
      <alignment horizontal="center" vertical="center" wrapText="1"/>
    </xf>
    <xf numFmtId="0" fontId="17" fillId="5" borderId="1" xfId="6" applyFont="1" applyFill="1" applyBorder="1" applyAlignment="1">
      <alignment horizontal="left" vertical="center" wrapText="1"/>
    </xf>
    <xf numFmtId="0" fontId="17" fillId="8" borderId="4" xfId="0" applyFont="1" applyFill="1" applyBorder="1" applyAlignment="1">
      <alignment horizontal="left" vertical="center" wrapText="1"/>
    </xf>
    <xf numFmtId="0" fontId="17" fillId="8" borderId="5" xfId="0" applyFont="1" applyFill="1" applyBorder="1" applyAlignment="1">
      <alignment horizontal="left" vertical="center" wrapText="1"/>
    </xf>
    <xf numFmtId="6" fontId="18" fillId="3" borderId="2" xfId="6" applyNumberFormat="1" applyFont="1" applyFill="1" applyBorder="1" applyAlignment="1">
      <alignment horizontal="center" vertical="center" wrapText="1"/>
    </xf>
    <xf numFmtId="6" fontId="18" fillId="3" borderId="6" xfId="6" applyNumberFormat="1" applyFont="1" applyFill="1" applyBorder="1" applyAlignment="1">
      <alignment horizontal="center" vertical="center" wrapText="1"/>
    </xf>
    <xf numFmtId="168" fontId="17" fillId="0" borderId="4" xfId="4" applyNumberFormat="1" applyFont="1" applyFill="1" applyBorder="1" applyAlignment="1">
      <alignment horizontal="left" vertical="center" wrapText="1"/>
    </xf>
    <xf numFmtId="168" fontId="17" fillId="0" borderId="5" xfId="4" applyNumberFormat="1" applyFont="1" applyFill="1" applyBorder="1" applyAlignment="1">
      <alignment horizontal="left" vertical="center" wrapText="1"/>
    </xf>
    <xf numFmtId="0" fontId="17" fillId="2" borderId="8" xfId="3" applyFont="1" applyFill="1" applyBorder="1" applyAlignment="1">
      <alignment horizontal="center" vertical="center"/>
    </xf>
    <xf numFmtId="0" fontId="17" fillId="0" borderId="1" xfId="6" applyFont="1" applyFill="1" applyBorder="1" applyAlignment="1">
      <alignment horizontal="left" vertical="center" wrapText="1"/>
    </xf>
    <xf numFmtId="3" fontId="17" fillId="9" borderId="1" xfId="3" applyNumberFormat="1" applyFont="1" applyFill="1" applyBorder="1" applyAlignment="1">
      <alignment horizontal="left" vertical="center" wrapText="1"/>
    </xf>
    <xf numFmtId="6" fontId="18" fillId="0" borderId="2" xfId="6" applyNumberFormat="1" applyFont="1" applyFill="1" applyBorder="1" applyAlignment="1">
      <alignment horizontal="center" vertical="center" wrapText="1"/>
    </xf>
    <xf numFmtId="6" fontId="18" fillId="0" borderId="6" xfId="6" applyNumberFormat="1" applyFont="1" applyFill="1" applyBorder="1" applyAlignment="1">
      <alignment horizontal="center" vertical="center" wrapText="1"/>
    </xf>
    <xf numFmtId="6" fontId="17" fillId="0" borderId="2" xfId="6" applyNumberFormat="1" applyFont="1" applyFill="1" applyBorder="1" applyAlignment="1">
      <alignment horizontal="center" vertical="center" wrapText="1"/>
    </xf>
    <xf numFmtId="6" fontId="17" fillId="0" borderId="6" xfId="6" applyNumberFormat="1" applyFont="1" applyFill="1" applyBorder="1" applyAlignment="1">
      <alignment horizontal="center" vertical="center" wrapText="1"/>
    </xf>
    <xf numFmtId="0" fontId="17" fillId="9" borderId="1" xfId="0" applyFont="1" applyFill="1" applyBorder="1" applyAlignment="1">
      <alignment horizontal="left" wrapText="1"/>
    </xf>
    <xf numFmtId="0" fontId="17" fillId="3" borderId="4" xfId="0" applyFont="1" applyFill="1" applyBorder="1" applyAlignment="1">
      <alignment horizontal="center" wrapText="1"/>
    </xf>
    <xf numFmtId="0" fontId="17" fillId="3" borderId="14" xfId="0" applyFont="1" applyFill="1" applyBorder="1" applyAlignment="1">
      <alignment horizontal="center" wrapText="1"/>
    </xf>
    <xf numFmtId="3" fontId="15" fillId="3" borderId="2" xfId="3" applyNumberFormat="1" applyFont="1" applyFill="1" applyBorder="1" applyAlignment="1">
      <alignment horizontal="center" vertical="center" wrapText="1"/>
    </xf>
    <xf numFmtId="3" fontId="15" fillId="3" borderId="6" xfId="3" applyNumberFormat="1" applyFont="1" applyFill="1" applyBorder="1" applyAlignment="1">
      <alignment horizontal="center" vertical="center" wrapText="1"/>
    </xf>
    <xf numFmtId="6" fontId="16" fillId="12" borderId="2" xfId="3" applyNumberFormat="1" applyFont="1" applyFill="1" applyBorder="1" applyAlignment="1">
      <alignment horizontal="center" vertical="center" wrapText="1"/>
    </xf>
    <xf numFmtId="6" fontId="16" fillId="12" borderId="6" xfId="3" applyNumberFormat="1" applyFont="1" applyFill="1" applyBorder="1" applyAlignment="1">
      <alignment horizontal="center" vertical="center" wrapText="1"/>
    </xf>
    <xf numFmtId="6" fontId="18" fillId="0" borderId="2" xfId="4" applyNumberFormat="1" applyFont="1" applyFill="1" applyBorder="1" applyAlignment="1">
      <alignment horizontal="center" vertical="center" wrapText="1"/>
    </xf>
    <xf numFmtId="6" fontId="18" fillId="0" borderId="6" xfId="4" applyNumberFormat="1" applyFont="1" applyFill="1" applyBorder="1" applyAlignment="1">
      <alignment horizontal="center" vertical="center" wrapText="1"/>
    </xf>
    <xf numFmtId="0" fontId="13" fillId="14" borderId="4" xfId="0" applyFont="1" applyFill="1" applyBorder="1" applyAlignment="1">
      <alignment horizontal="left" vertical="center" wrapText="1"/>
    </xf>
    <xf numFmtId="0" fontId="13" fillId="14" borderId="5" xfId="0" applyFont="1" applyFill="1" applyBorder="1" applyAlignment="1">
      <alignment horizontal="left" vertical="center" wrapText="1"/>
    </xf>
    <xf numFmtId="0" fontId="5" fillId="2" borderId="13" xfId="3" applyFont="1" applyFill="1" applyBorder="1" applyAlignment="1">
      <alignment horizontal="center" vertical="center"/>
    </xf>
    <xf numFmtId="0" fontId="15" fillId="3" borderId="2" xfId="5" applyFont="1" applyFill="1" applyBorder="1" applyAlignment="1">
      <alignment horizontal="center" vertical="center" wrapText="1"/>
    </xf>
    <xf numFmtId="3" fontId="13" fillId="5" borderId="4" xfId="3" applyNumberFormat="1" applyFont="1" applyFill="1" applyBorder="1" applyAlignment="1">
      <alignment horizontal="left" vertical="center" wrapText="1"/>
    </xf>
    <xf numFmtId="3" fontId="13" fillId="5" borderId="14" xfId="3" applyNumberFormat="1" applyFont="1" applyFill="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168" fontId="13" fillId="13" borderId="4" xfId="4" applyNumberFormat="1" applyFont="1" applyFill="1" applyBorder="1" applyAlignment="1">
      <alignment horizontal="left" vertical="center" wrapText="1"/>
    </xf>
    <xf numFmtId="0" fontId="0" fillId="0" borderId="14" xfId="0" applyBorder="1" applyAlignment="1">
      <alignment vertical="center"/>
    </xf>
    <xf numFmtId="0" fontId="0" fillId="0" borderId="5" xfId="0" applyBorder="1" applyAlignment="1">
      <alignment vertical="center"/>
    </xf>
    <xf numFmtId="168" fontId="13" fillId="13" borderId="4" xfId="4" applyNumberFormat="1" applyFont="1" applyFill="1" applyBorder="1" applyAlignment="1">
      <alignment horizontal="left" vertical="top" wrapText="1"/>
    </xf>
    <xf numFmtId="0" fontId="0" fillId="0" borderId="14" xfId="0" applyBorder="1" applyAlignment="1">
      <alignment wrapText="1"/>
    </xf>
    <xf numFmtId="0" fontId="0" fillId="0" borderId="5" xfId="0" applyBorder="1" applyAlignment="1">
      <alignment wrapText="1"/>
    </xf>
  </cellXfs>
  <cellStyles count="7">
    <cellStyle name="Comma" xfId="1" builtinId="3"/>
    <cellStyle name="Comma 2" xfId="4" xr:uid="{00000000-0005-0000-0000-000001000000}"/>
    <cellStyle name="Normal" xfId="0" builtinId="0"/>
    <cellStyle name="Normal 7" xfId="3" xr:uid="{00000000-0005-0000-0000-000003000000}"/>
    <cellStyle name="Normal_PEP" xfId="5" xr:uid="{00000000-0005-0000-0000-000004000000}"/>
    <cellStyle name="Normal_PEP 2" xfId="6" xr:uid="{00000000-0005-0000-0000-000005000000}"/>
    <cellStyle name="Percent" xfId="2" builtinId="5"/>
  </cellStyles>
  <dxfs count="0"/>
  <tableStyles count="0" defaultTableStyle="TableStyleMedium2" defaultPivotStyle="PivotStyleLight16"/>
  <colors>
    <mruColors>
      <color rgb="FF00FF00"/>
      <color rgb="FF000000"/>
      <color rgb="FFCCCC00"/>
      <color rgb="FF33CCCC"/>
      <color rgb="FF0099CC"/>
      <color rgb="FFCCFFCC"/>
      <color rgb="FFFF99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518214</xdr:colOff>
      <xdr:row>20</xdr:row>
      <xdr:rowOff>102973</xdr:rowOff>
    </xdr:from>
    <xdr:to>
      <xdr:col>16</xdr:col>
      <xdr:colOff>530062</xdr:colOff>
      <xdr:row>24</xdr:row>
      <xdr:rowOff>142668</xdr:rowOff>
    </xdr:to>
    <xdr:sp macro="" textlink="">
      <xdr:nvSpPr>
        <xdr:cNvPr id="2" name="Oval 1">
          <a:extLst>
            <a:ext uri="{FF2B5EF4-FFF2-40B4-BE49-F238E27FC236}">
              <a16:creationId xmlns:a16="http://schemas.microsoft.com/office/drawing/2014/main" id="{965767B5-B311-4FAA-A5A5-4B43FD70414E}"/>
            </a:ext>
          </a:extLst>
        </xdr:cNvPr>
        <xdr:cNvSpPr/>
      </xdr:nvSpPr>
      <xdr:spPr>
        <a:xfrm>
          <a:off x="15835444" y="4118919"/>
          <a:ext cx="655429" cy="760506"/>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2000" b="1"/>
            <a:t>6</a:t>
          </a:r>
          <a:endParaRPr lang="en-US" sz="1100" b="1"/>
        </a:p>
      </xdr:txBody>
    </xdr:sp>
    <xdr:clientData/>
  </xdr:twoCellAnchor>
  <xdr:twoCellAnchor>
    <xdr:from>
      <xdr:col>16</xdr:col>
      <xdr:colOff>58011</xdr:colOff>
      <xdr:row>198</xdr:row>
      <xdr:rowOff>341013</xdr:rowOff>
    </xdr:from>
    <xdr:to>
      <xdr:col>17</xdr:col>
      <xdr:colOff>63509</xdr:colOff>
      <xdr:row>200</xdr:row>
      <xdr:rowOff>251992</xdr:rowOff>
    </xdr:to>
    <xdr:sp macro="" textlink="">
      <xdr:nvSpPr>
        <xdr:cNvPr id="3" name="Oval 2">
          <a:extLst>
            <a:ext uri="{FF2B5EF4-FFF2-40B4-BE49-F238E27FC236}">
              <a16:creationId xmlns:a16="http://schemas.microsoft.com/office/drawing/2014/main" id="{8B13481D-358D-4806-A6B7-629BD1F37E54}"/>
            </a:ext>
          </a:extLst>
        </xdr:cNvPr>
        <xdr:cNvSpPr/>
      </xdr:nvSpPr>
      <xdr:spPr>
        <a:xfrm>
          <a:off x="16018822" y="45005540"/>
          <a:ext cx="649079" cy="760506"/>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2000" b="1"/>
            <a:t>7</a:t>
          </a:r>
          <a:endParaRPr lang="en-US" sz="1100" b="1"/>
        </a:p>
      </xdr:txBody>
    </xdr:sp>
    <xdr:clientData/>
  </xdr:twoCellAnchor>
  <xdr:twoCellAnchor>
    <xdr:from>
      <xdr:col>16</xdr:col>
      <xdr:colOff>263958</xdr:colOff>
      <xdr:row>465</xdr:row>
      <xdr:rowOff>295882</xdr:rowOff>
    </xdr:from>
    <xdr:to>
      <xdr:col>17</xdr:col>
      <xdr:colOff>278981</xdr:colOff>
      <xdr:row>467</xdr:row>
      <xdr:rowOff>258347</xdr:rowOff>
    </xdr:to>
    <xdr:sp macro="" textlink="">
      <xdr:nvSpPr>
        <xdr:cNvPr id="4" name="Oval 3">
          <a:extLst>
            <a:ext uri="{FF2B5EF4-FFF2-40B4-BE49-F238E27FC236}">
              <a16:creationId xmlns:a16="http://schemas.microsoft.com/office/drawing/2014/main" id="{7A16B6E2-DC92-41E0-88B6-DF417EEC510D}"/>
            </a:ext>
          </a:extLst>
        </xdr:cNvPr>
        <xdr:cNvSpPr/>
      </xdr:nvSpPr>
      <xdr:spPr>
        <a:xfrm>
          <a:off x="16224769" y="109421490"/>
          <a:ext cx="658604" cy="760506"/>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2000" b="1"/>
            <a:t>8</a:t>
          </a:r>
          <a:endParaRPr lang="en-US" sz="11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reenclimate-my.sharepoint.com/E:/FAO.CUBA.2/Integrated.Financial.Economic.Model.GCF.FAO.Cub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greenclimate-my.sharepoint.com/Users/DELL/Downloads/O&amp;M_PRESUPUESTO%20O&amp;M_IRES_Cuba_cd_141019_ingles_171019_Actualizado_cd%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greenclimate-my.sharepoint.com/Users/DELL/Downloads/FAO%20Cuba%20Budget_Finance%20Comments_28.11.19%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greenclimate-my.sharepoint.com/C:/Users/UCA/Downloads/O&amp;M_PRESUPUESTO%20O&amp;M_IRES_Cuba_cd_141019_ingles_171019_Actualizado_c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Content"/>
      <sheetName val="CB_DATA_"/>
      <sheetName val="2. Assumptions"/>
      <sheetName val="3. EFA "/>
      <sheetName val="4. Economic Summary"/>
      <sheetName val="5. Financial Summary"/>
      <sheetName val="6. CB Report"/>
      <sheetName val="7. Feasibility M1 - Riego"/>
      <sheetName val="7. Feasibility M1 - Reservorio"/>
      <sheetName val="8. Feasibility M2"/>
      <sheetName val="9. Feasibility M3"/>
      <sheetName val="10. Feasibility M4 - Riego"/>
      <sheetName val="10. Feasibility M4 - Reservorio"/>
      <sheetName val="10. Feasibility M4 - Invierno"/>
      <sheetName val="11. Feasibility M5 - Bebedero"/>
      <sheetName val="11. Feasibility M5 - Reservorio"/>
      <sheetName val="11. Feasibility M5 - Manejo"/>
      <sheetName val="12. Feasibility M6 - Bebedero"/>
      <sheetName val="12. Feasibility M6 - Reservorio"/>
      <sheetName val="12. Feasibility M6 - Manejo"/>
      <sheetName val="13a. Annex M1 CEDPLA - Riego"/>
      <sheetName val="13b. Annex CEDPLA - Reservorio"/>
      <sheetName val="14. Annex M2 MARREG"/>
      <sheetName val="15. Annex M3 MARFOM"/>
      <sheetName val="16a. Annex M4 FRUAGR - Riego  "/>
      <sheetName val="16b. Annex M4 FRUAGR - Reservor"/>
      <sheetName val="16c. Annex M4 FRUAGR - Invierno"/>
      <sheetName val="17a. Annex M 5 SILLEC - Bebeder"/>
      <sheetName val="17b. Annex M5 - Reservorio"/>
      <sheetName val="17c. Annex M5 SILLEC - Manejo"/>
      <sheetName val="18a. Annex M6 SILSOM - Bebedero"/>
      <sheetName val="18b. Annex M6 - Reservorio"/>
      <sheetName val="18c. Annex M6 SILSOM - Manejo"/>
      <sheetName val="19. Annex Without Project SP"/>
      <sheetName val="20.Incorporacion.Productiva"/>
      <sheetName val="21. Tornado Chart"/>
      <sheetName val="22. Spider Chart"/>
      <sheetName val="Presupuesto FVC"/>
      <sheetName val="O&amp;M_E+E"/>
      <sheetName val="Fertilizacion"/>
      <sheetName val="Resumen"/>
      <sheetName val="Laboratorio.Suelos"/>
      <sheetName val="Viveros.Agroforestales"/>
      <sheetName val="Cálculos auxiliares"/>
      <sheetName val="Presupuesto Cofinanc. (CUP)"/>
      <sheetName val="Costos.Salvaguarda.Amb.Soc."/>
      <sheetName val="Carlos.Dominguez"/>
      <sheetName val="Gender.Budget"/>
      <sheetName val="1.Detailed budget"/>
      <sheetName val="2.Detailed budget notes"/>
      <sheetName val="3. Indicative procurement plan"/>
      <sheetName val="4. Budget"/>
      <sheetName val="5. Fin Timeline"/>
      <sheetName val="6. Fin Timeline by fin Source"/>
      <sheetName val="7. Budget by Fin Resource"/>
      <sheetName val="8.Detailed Cost by Activity"/>
      <sheetName val="Presupuesto.O&amp;M"/>
    </sheetNames>
    <sheetDataSet>
      <sheetData sheetId="0" refreshError="1"/>
      <sheetData sheetId="1" refreshError="1"/>
      <sheetData sheetId="2" refreshError="1">
        <row r="143">
          <cell r="D143">
            <v>10000</v>
          </cell>
        </row>
        <row r="144">
          <cell r="D144">
            <v>10000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264">
          <cell r="G264">
            <v>107334</v>
          </cell>
        </row>
        <row r="265">
          <cell r="G265">
            <v>309186</v>
          </cell>
        </row>
        <row r="266">
          <cell r="G266">
            <v>309186</v>
          </cell>
        </row>
        <row r="267">
          <cell r="G267">
            <v>201852</v>
          </cell>
        </row>
        <row r="268">
          <cell r="G268">
            <v>165006</v>
          </cell>
        </row>
        <row r="269">
          <cell r="G269">
            <v>1050912</v>
          </cell>
        </row>
        <row r="270">
          <cell r="G270">
            <v>5462820</v>
          </cell>
          <cell r="K270">
            <v>21824</v>
          </cell>
          <cell r="L270">
            <v>43648</v>
          </cell>
          <cell r="M270">
            <v>65608.399999999994</v>
          </cell>
          <cell r="N270">
            <v>65608.399999999994</v>
          </cell>
          <cell r="O270">
            <v>21824</v>
          </cell>
          <cell r="P270">
            <v>0</v>
          </cell>
          <cell r="Q270">
            <v>0</v>
          </cell>
        </row>
        <row r="271">
          <cell r="G271">
            <v>3152736</v>
          </cell>
          <cell r="H271">
            <v>0.46800000000000003</v>
          </cell>
          <cell r="K271">
            <v>49121.280000000006</v>
          </cell>
          <cell r="L271">
            <v>147363.84</v>
          </cell>
          <cell r="M271">
            <v>295034.68800000002</v>
          </cell>
          <cell r="N271">
            <v>393584.25599999999</v>
          </cell>
          <cell r="O271">
            <v>344462.97600000002</v>
          </cell>
          <cell r="P271">
            <v>196792.128</v>
          </cell>
          <cell r="Q271">
            <v>49121.280000000006</v>
          </cell>
        </row>
        <row r="272">
          <cell r="G272">
            <v>78490</v>
          </cell>
          <cell r="K272">
            <v>16000</v>
          </cell>
          <cell r="L272">
            <v>48000</v>
          </cell>
          <cell r="M272">
            <v>96100</v>
          </cell>
          <cell r="N272">
            <v>144200</v>
          </cell>
          <cell r="O272">
            <v>160200</v>
          </cell>
          <cell r="P272">
            <v>160200</v>
          </cell>
          <cell r="Q272">
            <v>160200</v>
          </cell>
        </row>
        <row r="273">
          <cell r="P273">
            <v>0</v>
          </cell>
          <cell r="Q273">
            <v>0</v>
          </cell>
        </row>
        <row r="274">
          <cell r="P274">
            <v>0</v>
          </cell>
          <cell r="Q274">
            <v>0</v>
          </cell>
        </row>
        <row r="275">
          <cell r="P275">
            <v>0</v>
          </cell>
          <cell r="Q275">
            <v>0</v>
          </cell>
        </row>
        <row r="277">
          <cell r="G277">
            <v>267</v>
          </cell>
          <cell r="H277">
            <v>14368.9</v>
          </cell>
          <cell r="K277">
            <v>387960.3</v>
          </cell>
          <cell r="L277">
            <v>761551.7</v>
          </cell>
          <cell r="M277">
            <v>1149512</v>
          </cell>
          <cell r="N277">
            <v>1149512</v>
          </cell>
          <cell r="O277">
            <v>387960.3</v>
          </cell>
          <cell r="P277">
            <v>0</v>
          </cell>
          <cell r="Q277">
            <v>0</v>
          </cell>
        </row>
        <row r="278">
          <cell r="G278">
            <v>267</v>
          </cell>
          <cell r="H278">
            <v>3153.13</v>
          </cell>
          <cell r="K278">
            <v>85134.510000000009</v>
          </cell>
          <cell r="L278">
            <v>167115.89000000001</v>
          </cell>
          <cell r="M278">
            <v>252250.40000000002</v>
          </cell>
          <cell r="N278">
            <v>252250.40000000002</v>
          </cell>
          <cell r="O278">
            <v>85134.510000000009</v>
          </cell>
          <cell r="P278">
            <v>0</v>
          </cell>
          <cell r="Q278">
            <v>0</v>
          </cell>
        </row>
      </sheetData>
      <sheetData sheetId="21" refreshError="1">
        <row r="267">
          <cell r="G267">
            <v>10184</v>
          </cell>
        </row>
        <row r="268">
          <cell r="G268">
            <v>29336</v>
          </cell>
        </row>
        <row r="269">
          <cell r="G269">
            <v>29336</v>
          </cell>
        </row>
        <row r="270">
          <cell r="G270">
            <v>19152</v>
          </cell>
        </row>
        <row r="271">
          <cell r="G271">
            <v>15656</v>
          </cell>
        </row>
        <row r="272">
          <cell r="G272">
            <v>99712</v>
          </cell>
        </row>
        <row r="273">
          <cell r="G273">
            <v>518320</v>
          </cell>
          <cell r="K273">
            <v>2046</v>
          </cell>
          <cell r="L273">
            <v>4092</v>
          </cell>
          <cell r="M273">
            <v>6274.4000000000005</v>
          </cell>
          <cell r="N273">
            <v>6274.4000000000005</v>
          </cell>
          <cell r="O273">
            <v>2046</v>
          </cell>
          <cell r="P273">
            <v>0</v>
          </cell>
          <cell r="Q273">
            <v>0</v>
          </cell>
        </row>
        <row r="274">
          <cell r="G274">
            <v>299136</v>
          </cell>
          <cell r="K274">
            <v>4605.12</v>
          </cell>
          <cell r="L274">
            <v>13815.36</v>
          </cell>
          <cell r="M274">
            <v>27937.728000000003</v>
          </cell>
          <cell r="N274">
            <v>37454.976000000002</v>
          </cell>
          <cell r="O274">
            <v>32849.856</v>
          </cell>
          <cell r="P274">
            <v>18727.488000000001</v>
          </cell>
          <cell r="Q274">
            <v>4605.12</v>
          </cell>
        </row>
        <row r="275">
          <cell r="G275">
            <v>7440</v>
          </cell>
          <cell r="K275">
            <v>1500</v>
          </cell>
          <cell r="L275">
            <v>4500</v>
          </cell>
          <cell r="M275">
            <v>9100</v>
          </cell>
          <cell r="N275">
            <v>13700</v>
          </cell>
          <cell r="O275">
            <v>15200</v>
          </cell>
          <cell r="P275">
            <v>15200</v>
          </cell>
          <cell r="Q275">
            <v>15200</v>
          </cell>
        </row>
        <row r="276">
          <cell r="P276">
            <v>0</v>
          </cell>
          <cell r="Q276">
            <v>0</v>
          </cell>
        </row>
        <row r="277">
          <cell r="P277">
            <v>0</v>
          </cell>
          <cell r="Q277">
            <v>0</v>
          </cell>
        </row>
        <row r="278">
          <cell r="P278">
            <v>0</v>
          </cell>
          <cell r="Q278">
            <v>0</v>
          </cell>
        </row>
        <row r="280">
          <cell r="G280">
            <v>152</v>
          </cell>
          <cell r="H280">
            <v>2424</v>
          </cell>
          <cell r="K280">
            <v>36360</v>
          </cell>
          <cell r="L280">
            <v>72720</v>
          </cell>
          <cell r="M280">
            <v>111504</v>
          </cell>
          <cell r="N280">
            <v>111504</v>
          </cell>
          <cell r="O280">
            <v>36360</v>
          </cell>
          <cell r="P280">
            <v>0</v>
          </cell>
          <cell r="Q280">
            <v>0</v>
          </cell>
        </row>
        <row r="281">
          <cell r="G281">
            <v>152</v>
          </cell>
          <cell r="H281">
            <v>1398.97</v>
          </cell>
          <cell r="K281">
            <v>20984.55</v>
          </cell>
          <cell r="L281">
            <v>41969.1</v>
          </cell>
          <cell r="M281">
            <v>64352.62</v>
          </cell>
          <cell r="N281">
            <v>64352.62</v>
          </cell>
          <cell r="O281">
            <v>20984.55</v>
          </cell>
          <cell r="P281">
            <v>0</v>
          </cell>
          <cell r="Q281">
            <v>0</v>
          </cell>
        </row>
        <row r="282">
          <cell r="G282">
            <v>152</v>
          </cell>
          <cell r="H282">
            <v>1100</v>
          </cell>
          <cell r="K282">
            <v>16500</v>
          </cell>
          <cell r="L282">
            <v>33000</v>
          </cell>
          <cell r="M282">
            <v>50600</v>
          </cell>
          <cell r="N282">
            <v>50600</v>
          </cell>
          <cell r="O282">
            <v>16500</v>
          </cell>
          <cell r="P282">
            <v>0</v>
          </cell>
          <cell r="Q282">
            <v>0</v>
          </cell>
        </row>
      </sheetData>
      <sheetData sheetId="22" refreshError="1">
        <row r="189">
          <cell r="G189">
            <v>730350</v>
          </cell>
        </row>
        <row r="190">
          <cell r="G190">
            <v>649887</v>
          </cell>
        </row>
        <row r="191">
          <cell r="G191">
            <v>649887</v>
          </cell>
        </row>
        <row r="192">
          <cell r="G192">
            <v>649887</v>
          </cell>
        </row>
        <row r="193">
          <cell r="G193">
            <v>649887</v>
          </cell>
        </row>
        <row r="194">
          <cell r="G194">
            <v>730350</v>
          </cell>
        </row>
        <row r="195">
          <cell r="G195">
            <v>6190</v>
          </cell>
          <cell r="K195">
            <v>24760</v>
          </cell>
          <cell r="L195">
            <v>49520</v>
          </cell>
          <cell r="M195">
            <v>74280</v>
          </cell>
          <cell r="N195">
            <v>74280</v>
          </cell>
          <cell r="O195">
            <v>24760</v>
          </cell>
          <cell r="P195">
            <v>0</v>
          </cell>
          <cell r="Q195">
            <v>0</v>
          </cell>
        </row>
        <row r="196">
          <cell r="P196">
            <v>0</v>
          </cell>
          <cell r="Q196">
            <v>0</v>
          </cell>
        </row>
        <row r="197">
          <cell r="P197">
            <v>0</v>
          </cell>
          <cell r="Q197">
            <v>0</v>
          </cell>
        </row>
        <row r="198">
          <cell r="P198">
            <v>0</v>
          </cell>
          <cell r="Q198">
            <v>0</v>
          </cell>
        </row>
      </sheetData>
      <sheetData sheetId="23" refreshError="1">
        <row r="246">
          <cell r="G246">
            <v>1576137</v>
          </cell>
        </row>
        <row r="247">
          <cell r="G247">
            <v>1576137</v>
          </cell>
        </row>
        <row r="248">
          <cell r="G248">
            <v>1576137</v>
          </cell>
        </row>
        <row r="249">
          <cell r="G249">
            <v>1576137</v>
          </cell>
        </row>
        <row r="250">
          <cell r="G250">
            <v>1576137</v>
          </cell>
        </row>
        <row r="251">
          <cell r="G251">
            <v>547157</v>
          </cell>
        </row>
        <row r="252">
          <cell r="G252">
            <v>277662</v>
          </cell>
        </row>
        <row r="253">
          <cell r="G253">
            <v>204163</v>
          </cell>
        </row>
        <row r="254">
          <cell r="G254">
            <v>16333</v>
          </cell>
          <cell r="K254">
            <v>65320</v>
          </cell>
          <cell r="L254">
            <v>130680</v>
          </cell>
          <cell r="M254">
            <v>196000</v>
          </cell>
          <cell r="N254">
            <v>196000</v>
          </cell>
          <cell r="O254">
            <v>65320</v>
          </cell>
          <cell r="P254">
            <v>0</v>
          </cell>
          <cell r="Q254">
            <v>0</v>
          </cell>
        </row>
        <row r="255">
          <cell r="G255">
            <v>214370</v>
          </cell>
          <cell r="K255">
            <v>214370</v>
          </cell>
          <cell r="L255">
            <v>428740</v>
          </cell>
          <cell r="M255">
            <v>643110</v>
          </cell>
          <cell r="N255">
            <v>643110</v>
          </cell>
          <cell r="O255">
            <v>214370</v>
          </cell>
          <cell r="P255">
            <v>0</v>
          </cell>
          <cell r="Q255">
            <v>0</v>
          </cell>
        </row>
        <row r="256">
          <cell r="P256">
            <v>0</v>
          </cell>
          <cell r="Q256">
            <v>0</v>
          </cell>
        </row>
        <row r="257">
          <cell r="P257">
            <v>0</v>
          </cell>
          <cell r="Q257">
            <v>0</v>
          </cell>
        </row>
        <row r="258">
          <cell r="P258">
            <v>0</v>
          </cell>
          <cell r="Q258">
            <v>0</v>
          </cell>
        </row>
      </sheetData>
      <sheetData sheetId="24" refreshError="1">
        <row r="312">
          <cell r="G312">
            <v>20978</v>
          </cell>
        </row>
        <row r="313">
          <cell r="G313">
            <v>15425</v>
          </cell>
        </row>
        <row r="314">
          <cell r="G314">
            <v>41339</v>
          </cell>
        </row>
        <row r="315">
          <cell r="G315">
            <v>19744</v>
          </cell>
        </row>
        <row r="316">
          <cell r="G316">
            <v>17893</v>
          </cell>
        </row>
        <row r="317">
          <cell r="G317">
            <v>19744</v>
          </cell>
        </row>
        <row r="318">
          <cell r="G318">
            <v>64168</v>
          </cell>
        </row>
        <row r="319">
          <cell r="G319">
            <v>65402</v>
          </cell>
        </row>
        <row r="320">
          <cell r="G320">
            <v>86380</v>
          </cell>
        </row>
        <row r="321">
          <cell r="G321">
            <v>86380</v>
          </cell>
        </row>
        <row r="322">
          <cell r="G322">
            <v>388710</v>
          </cell>
          <cell r="K322">
            <v>1562.4</v>
          </cell>
          <cell r="L322">
            <v>3099.6</v>
          </cell>
          <cell r="M322">
            <v>4662</v>
          </cell>
          <cell r="N322">
            <v>4662</v>
          </cell>
          <cell r="O322">
            <v>1562.4</v>
          </cell>
          <cell r="P322">
            <v>0</v>
          </cell>
          <cell r="Q322">
            <v>0</v>
          </cell>
        </row>
        <row r="323">
          <cell r="G323">
            <v>69968</v>
          </cell>
          <cell r="H323">
            <v>0.46800000000000003</v>
          </cell>
          <cell r="K323">
            <v>1316.0160000000001</v>
          </cell>
          <cell r="L323">
            <v>3598.4520000000002</v>
          </cell>
          <cell r="M323">
            <v>6872.5800000000008</v>
          </cell>
          <cell r="N323">
            <v>8831.16</v>
          </cell>
          <cell r="O323">
            <v>7207.2000000000007</v>
          </cell>
          <cell r="P323">
            <v>3932.6040000000003</v>
          </cell>
          <cell r="Q323">
            <v>987.01200000000006</v>
          </cell>
        </row>
        <row r="324">
          <cell r="G324">
            <v>11338</v>
          </cell>
          <cell r="K324">
            <v>2330</v>
          </cell>
          <cell r="L324">
            <v>6940</v>
          </cell>
          <cell r="M324">
            <v>13880</v>
          </cell>
          <cell r="N324">
            <v>20810</v>
          </cell>
          <cell r="O324">
            <v>23140</v>
          </cell>
          <cell r="P324">
            <v>23140</v>
          </cell>
          <cell r="Q324">
            <v>23140</v>
          </cell>
        </row>
        <row r="325">
          <cell r="G325">
            <v>26301</v>
          </cell>
          <cell r="K325">
            <v>5390</v>
          </cell>
          <cell r="L325">
            <v>16100</v>
          </cell>
          <cell r="M325">
            <v>32190</v>
          </cell>
          <cell r="N325">
            <v>48290</v>
          </cell>
          <cell r="O325">
            <v>53680</v>
          </cell>
          <cell r="P325">
            <v>53680</v>
          </cell>
          <cell r="Q325">
            <v>53680</v>
          </cell>
        </row>
        <row r="326">
          <cell r="P326">
            <v>0</v>
          </cell>
          <cell r="Q326">
            <v>0</v>
          </cell>
        </row>
        <row r="327">
          <cell r="P327">
            <v>0</v>
          </cell>
          <cell r="Q327">
            <v>0</v>
          </cell>
        </row>
        <row r="328">
          <cell r="P328">
            <v>0</v>
          </cell>
          <cell r="Q328">
            <v>0</v>
          </cell>
        </row>
        <row r="331">
          <cell r="G331">
            <v>105</v>
          </cell>
          <cell r="K331">
            <v>158057.9</v>
          </cell>
          <cell r="L331">
            <v>301746.89999999997</v>
          </cell>
          <cell r="M331">
            <v>445435.89999999997</v>
          </cell>
          <cell r="N331">
            <v>445435.89999999997</v>
          </cell>
          <cell r="O331">
            <v>158057.9</v>
          </cell>
          <cell r="P331">
            <v>0</v>
          </cell>
          <cell r="Q331">
            <v>0</v>
          </cell>
        </row>
        <row r="332">
          <cell r="G332">
            <v>105</v>
          </cell>
          <cell r="K332">
            <v>34684.43</v>
          </cell>
          <cell r="L332">
            <v>66215.73</v>
          </cell>
          <cell r="M332">
            <v>97747.03</v>
          </cell>
          <cell r="N332">
            <v>97747.03</v>
          </cell>
          <cell r="O332">
            <v>34684.43</v>
          </cell>
          <cell r="P332">
            <v>0</v>
          </cell>
          <cell r="Q332">
            <v>0</v>
          </cell>
        </row>
      </sheetData>
      <sheetData sheetId="25" refreshError="1">
        <row r="309">
          <cell r="G309">
            <v>10200</v>
          </cell>
        </row>
        <row r="310">
          <cell r="G310">
            <v>7500</v>
          </cell>
        </row>
        <row r="311">
          <cell r="G311">
            <v>20100</v>
          </cell>
        </row>
        <row r="312">
          <cell r="G312">
            <v>9600</v>
          </cell>
        </row>
        <row r="313">
          <cell r="G313">
            <v>8700</v>
          </cell>
        </row>
        <row r="314">
          <cell r="G314">
            <v>9600</v>
          </cell>
        </row>
        <row r="315">
          <cell r="G315">
            <v>31200</v>
          </cell>
        </row>
        <row r="316">
          <cell r="G316">
            <v>31800</v>
          </cell>
        </row>
        <row r="317">
          <cell r="G317">
            <v>42000</v>
          </cell>
        </row>
        <row r="318">
          <cell r="G318">
            <v>42000</v>
          </cell>
        </row>
        <row r="319">
          <cell r="G319">
            <v>189000</v>
          </cell>
          <cell r="K319">
            <v>756</v>
          </cell>
          <cell r="L319">
            <v>1512</v>
          </cell>
          <cell r="M319">
            <v>2268</v>
          </cell>
          <cell r="N319">
            <v>2268</v>
          </cell>
          <cell r="O319">
            <v>756</v>
          </cell>
          <cell r="P319">
            <v>0</v>
          </cell>
          <cell r="Q319">
            <v>0</v>
          </cell>
        </row>
        <row r="320">
          <cell r="G320">
            <v>34019</v>
          </cell>
          <cell r="K320">
            <v>636.94800000000009</v>
          </cell>
          <cell r="L320">
            <v>1751.2560000000001</v>
          </cell>
          <cell r="M320">
            <v>3343.3920000000003</v>
          </cell>
          <cell r="N320">
            <v>4298.58</v>
          </cell>
          <cell r="O320">
            <v>3502.5120000000002</v>
          </cell>
          <cell r="P320">
            <v>1910.3760000000002</v>
          </cell>
          <cell r="Q320">
            <v>477.82800000000003</v>
          </cell>
        </row>
        <row r="321">
          <cell r="G321">
            <v>5512</v>
          </cell>
          <cell r="K321">
            <v>1130</v>
          </cell>
          <cell r="L321">
            <v>3370</v>
          </cell>
          <cell r="M321">
            <v>6750</v>
          </cell>
          <cell r="N321">
            <v>10120</v>
          </cell>
          <cell r="O321">
            <v>11250</v>
          </cell>
          <cell r="P321">
            <v>11250</v>
          </cell>
          <cell r="Q321">
            <v>11250</v>
          </cell>
        </row>
        <row r="322">
          <cell r="G322">
            <v>12789</v>
          </cell>
          <cell r="K322">
            <v>2610</v>
          </cell>
          <cell r="L322">
            <v>7830</v>
          </cell>
          <cell r="M322">
            <v>15660</v>
          </cell>
          <cell r="N322">
            <v>23490</v>
          </cell>
          <cell r="O322">
            <v>26100</v>
          </cell>
          <cell r="P322">
            <v>26100</v>
          </cell>
          <cell r="Q322">
            <v>26100</v>
          </cell>
        </row>
        <row r="323">
          <cell r="P323">
            <v>0</v>
          </cell>
          <cell r="Q323">
            <v>0</v>
          </cell>
        </row>
        <row r="324">
          <cell r="P324">
            <v>0</v>
          </cell>
          <cell r="Q324">
            <v>0</v>
          </cell>
        </row>
        <row r="325">
          <cell r="P325">
            <v>0</v>
          </cell>
          <cell r="Q325">
            <v>0</v>
          </cell>
        </row>
        <row r="327">
          <cell r="G327">
            <v>300</v>
          </cell>
          <cell r="H327">
            <v>2904</v>
          </cell>
          <cell r="K327">
            <v>87120</v>
          </cell>
          <cell r="L327">
            <v>174240</v>
          </cell>
          <cell r="M327">
            <v>261360</v>
          </cell>
          <cell r="N327">
            <v>261360</v>
          </cell>
          <cell r="O327">
            <v>87120</v>
          </cell>
          <cell r="P327">
            <v>0</v>
          </cell>
          <cell r="Q327">
            <v>0</v>
          </cell>
        </row>
        <row r="328">
          <cell r="G328">
            <v>300</v>
          </cell>
          <cell r="K328">
            <v>41969.1</v>
          </cell>
          <cell r="L328">
            <v>83938.2</v>
          </cell>
          <cell r="M328">
            <v>125907.3</v>
          </cell>
          <cell r="N328">
            <v>125907.3</v>
          </cell>
          <cell r="O328">
            <v>41969.1</v>
          </cell>
          <cell r="P328">
            <v>0</v>
          </cell>
          <cell r="Q328">
            <v>0</v>
          </cell>
        </row>
        <row r="329">
          <cell r="G329">
            <v>300</v>
          </cell>
          <cell r="K329">
            <v>33000</v>
          </cell>
          <cell r="L329">
            <v>66000</v>
          </cell>
          <cell r="M329">
            <v>99000</v>
          </cell>
          <cell r="N329">
            <v>99000</v>
          </cell>
          <cell r="O329">
            <v>33000</v>
          </cell>
          <cell r="P329">
            <v>0</v>
          </cell>
          <cell r="Q329">
            <v>0</v>
          </cell>
        </row>
      </sheetData>
      <sheetData sheetId="26" refreshError="1">
        <row r="309">
          <cell r="G309">
            <v>54808</v>
          </cell>
        </row>
        <row r="310">
          <cell r="G310">
            <v>40300</v>
          </cell>
        </row>
        <row r="311">
          <cell r="G311">
            <v>108004</v>
          </cell>
        </row>
        <row r="312">
          <cell r="G312">
            <v>51584</v>
          </cell>
        </row>
        <row r="313">
          <cell r="G313">
            <v>46748</v>
          </cell>
        </row>
        <row r="314">
          <cell r="G314">
            <v>0</v>
          </cell>
        </row>
        <row r="315">
          <cell r="G315">
            <v>0</v>
          </cell>
        </row>
        <row r="316">
          <cell r="G316">
            <v>170872</v>
          </cell>
        </row>
        <row r="317">
          <cell r="G317">
            <v>225680</v>
          </cell>
        </row>
        <row r="318">
          <cell r="G318">
            <v>225680</v>
          </cell>
        </row>
        <row r="319">
          <cell r="G319">
            <v>1015560</v>
          </cell>
          <cell r="K319">
            <v>4057.2000000000003</v>
          </cell>
          <cell r="L319">
            <v>8114.4000000000005</v>
          </cell>
          <cell r="M319">
            <v>12196.800000000001</v>
          </cell>
          <cell r="N319">
            <v>12196.800000000001</v>
          </cell>
          <cell r="O319">
            <v>4057.2000000000003</v>
          </cell>
          <cell r="P319">
            <v>0</v>
          </cell>
          <cell r="Q319">
            <v>0</v>
          </cell>
        </row>
        <row r="320">
          <cell r="G320">
            <v>182800</v>
          </cell>
          <cell r="K320">
            <v>3417.8040000000001</v>
          </cell>
          <cell r="L320">
            <v>9398.844000000001</v>
          </cell>
          <cell r="M320">
            <v>17964.648000000001</v>
          </cell>
          <cell r="N320">
            <v>23107.032000000003</v>
          </cell>
          <cell r="O320">
            <v>18829.512000000002</v>
          </cell>
          <cell r="P320">
            <v>10269.324000000001</v>
          </cell>
          <cell r="Q320">
            <v>2563.2360000000003</v>
          </cell>
        </row>
        <row r="321">
          <cell r="G321">
            <v>29617</v>
          </cell>
          <cell r="K321">
            <v>6040</v>
          </cell>
          <cell r="L321">
            <v>18110</v>
          </cell>
          <cell r="M321">
            <v>36260</v>
          </cell>
          <cell r="N321">
            <v>54410</v>
          </cell>
          <cell r="O321">
            <v>60450</v>
          </cell>
          <cell r="P321">
            <v>60450</v>
          </cell>
          <cell r="Q321">
            <v>60450</v>
          </cell>
        </row>
        <row r="322">
          <cell r="G322">
            <v>68712</v>
          </cell>
          <cell r="K322">
            <v>14010</v>
          </cell>
          <cell r="L322">
            <v>42020</v>
          </cell>
          <cell r="M322">
            <v>84130</v>
          </cell>
          <cell r="N322">
            <v>126240</v>
          </cell>
          <cell r="O322">
            <v>140240</v>
          </cell>
          <cell r="P322">
            <v>140240</v>
          </cell>
          <cell r="Q322">
            <v>140240</v>
          </cell>
        </row>
        <row r="323">
          <cell r="P323">
            <v>0</v>
          </cell>
          <cell r="Q323">
            <v>0</v>
          </cell>
        </row>
        <row r="324">
          <cell r="P324">
            <v>0</v>
          </cell>
          <cell r="Q324">
            <v>0</v>
          </cell>
        </row>
        <row r="325">
          <cell r="P325">
            <v>0</v>
          </cell>
          <cell r="Q325">
            <v>0</v>
          </cell>
        </row>
      </sheetData>
      <sheetData sheetId="27" refreshError="1">
        <row r="346">
          <cell r="G346">
            <v>5362500</v>
          </cell>
        </row>
        <row r="347">
          <cell r="G347">
            <v>7150</v>
          </cell>
        </row>
        <row r="348">
          <cell r="G348">
            <v>28600</v>
          </cell>
        </row>
        <row r="349">
          <cell r="G349">
            <v>71500</v>
          </cell>
        </row>
        <row r="350">
          <cell r="G350">
            <v>822250</v>
          </cell>
        </row>
        <row r="351">
          <cell r="G351">
            <v>228800</v>
          </cell>
        </row>
        <row r="352">
          <cell r="G352">
            <v>1401400</v>
          </cell>
          <cell r="I352">
            <v>2802800</v>
          </cell>
          <cell r="K352">
            <v>57200</v>
          </cell>
          <cell r="L352">
            <v>171600</v>
          </cell>
          <cell r="M352">
            <v>343200</v>
          </cell>
          <cell r="N352">
            <v>514800</v>
          </cell>
          <cell r="O352">
            <v>572000</v>
          </cell>
          <cell r="P352">
            <v>572000</v>
          </cell>
          <cell r="Q352">
            <v>572000</v>
          </cell>
        </row>
        <row r="353">
          <cell r="G353">
            <v>0</v>
          </cell>
          <cell r="I353">
            <v>0</v>
          </cell>
          <cell r="K353">
            <v>0</v>
          </cell>
          <cell r="L353">
            <v>0</v>
          </cell>
          <cell r="M353">
            <v>0</v>
          </cell>
          <cell r="N353">
            <v>0</v>
          </cell>
          <cell r="O353">
            <v>0</v>
          </cell>
          <cell r="P353">
            <v>0</v>
          </cell>
          <cell r="Q353">
            <v>0</v>
          </cell>
        </row>
        <row r="354">
          <cell r="K354">
            <v>0</v>
          </cell>
          <cell r="L354">
            <v>0</v>
          </cell>
          <cell r="M354">
            <v>0</v>
          </cell>
          <cell r="N354">
            <v>0</v>
          </cell>
          <cell r="O354">
            <v>0</v>
          </cell>
          <cell r="P354">
            <v>0</v>
          </cell>
          <cell r="Q354">
            <v>0</v>
          </cell>
        </row>
        <row r="355">
          <cell r="K355">
            <v>0</v>
          </cell>
          <cell r="L355">
            <v>0</v>
          </cell>
          <cell r="M355">
            <v>0</v>
          </cell>
          <cell r="N355">
            <v>0</v>
          </cell>
          <cell r="O355">
            <v>0</v>
          </cell>
          <cell r="P355">
            <v>0</v>
          </cell>
          <cell r="Q355">
            <v>0</v>
          </cell>
        </row>
        <row r="356">
          <cell r="K356">
            <v>0</v>
          </cell>
          <cell r="L356">
            <v>0</v>
          </cell>
          <cell r="M356">
            <v>0</v>
          </cell>
          <cell r="N356">
            <v>0</v>
          </cell>
          <cell r="O356">
            <v>0</v>
          </cell>
          <cell r="P356">
            <v>0</v>
          </cell>
          <cell r="Q356">
            <v>0</v>
          </cell>
        </row>
        <row r="357">
          <cell r="G357">
            <v>0</v>
          </cell>
          <cell r="I357">
            <v>0</v>
          </cell>
          <cell r="K357">
            <v>0</v>
          </cell>
          <cell r="L357">
            <v>0</v>
          </cell>
          <cell r="M357">
            <v>0</v>
          </cell>
          <cell r="N357">
            <v>0</v>
          </cell>
          <cell r="O357">
            <v>0</v>
          </cell>
          <cell r="P357">
            <v>0</v>
          </cell>
          <cell r="Q357">
            <v>0</v>
          </cell>
        </row>
        <row r="358">
          <cell r="K358">
            <v>0</v>
          </cell>
          <cell r="L358">
            <v>0</v>
          </cell>
          <cell r="M358">
            <v>0</v>
          </cell>
          <cell r="N358">
            <v>0</v>
          </cell>
          <cell r="O358">
            <v>0</v>
          </cell>
          <cell r="P358">
            <v>0</v>
          </cell>
          <cell r="Q358">
            <v>0</v>
          </cell>
        </row>
        <row r="359">
          <cell r="K359">
            <v>0</v>
          </cell>
          <cell r="L359">
            <v>0</v>
          </cell>
          <cell r="M359">
            <v>0</v>
          </cell>
          <cell r="N359">
            <v>0</v>
          </cell>
          <cell r="O359">
            <v>0</v>
          </cell>
          <cell r="P359">
            <v>0</v>
          </cell>
          <cell r="Q359">
            <v>0</v>
          </cell>
        </row>
        <row r="360">
          <cell r="K360">
            <v>0</v>
          </cell>
          <cell r="L360">
            <v>0</v>
          </cell>
          <cell r="M360">
            <v>0</v>
          </cell>
          <cell r="N360">
            <v>0</v>
          </cell>
          <cell r="O360">
            <v>0</v>
          </cell>
          <cell r="P360">
            <v>0</v>
          </cell>
          <cell r="Q360">
            <v>0</v>
          </cell>
        </row>
        <row r="362">
          <cell r="G362">
            <v>7150</v>
          </cell>
          <cell r="K362">
            <v>107250</v>
          </cell>
          <cell r="L362">
            <v>214500</v>
          </cell>
          <cell r="M362">
            <v>321750</v>
          </cell>
          <cell r="N362">
            <v>321750</v>
          </cell>
          <cell r="O362">
            <v>107250</v>
          </cell>
          <cell r="P362">
            <v>0</v>
          </cell>
          <cell r="Q362">
            <v>0</v>
          </cell>
        </row>
        <row r="363">
          <cell r="G363">
            <v>1192</v>
          </cell>
          <cell r="H363">
            <v>625</v>
          </cell>
          <cell r="K363">
            <v>74375</v>
          </cell>
          <cell r="L363">
            <v>148750</v>
          </cell>
          <cell r="M363">
            <v>223750</v>
          </cell>
          <cell r="N363">
            <v>223750</v>
          </cell>
          <cell r="O363">
            <v>74375</v>
          </cell>
          <cell r="P363">
            <v>0</v>
          </cell>
          <cell r="Q363">
            <v>0</v>
          </cell>
        </row>
        <row r="365">
          <cell r="G365">
            <v>1192</v>
          </cell>
          <cell r="H365">
            <v>660</v>
          </cell>
          <cell r="K365">
            <v>78540</v>
          </cell>
          <cell r="L365">
            <v>157080</v>
          </cell>
          <cell r="M365">
            <v>236280</v>
          </cell>
          <cell r="N365">
            <v>236280</v>
          </cell>
          <cell r="O365">
            <v>78540</v>
          </cell>
          <cell r="P365">
            <v>0</v>
          </cell>
          <cell r="Q365">
            <v>0</v>
          </cell>
        </row>
      </sheetData>
      <sheetData sheetId="28" refreshError="1">
        <row r="346">
          <cell r="G346">
            <v>262500</v>
          </cell>
        </row>
        <row r="347">
          <cell r="G347">
            <v>350</v>
          </cell>
        </row>
        <row r="348">
          <cell r="G348">
            <v>1400</v>
          </cell>
        </row>
        <row r="349">
          <cell r="G349">
            <v>3500</v>
          </cell>
        </row>
        <row r="350">
          <cell r="G350">
            <v>40250</v>
          </cell>
        </row>
        <row r="351">
          <cell r="G351">
            <v>11200</v>
          </cell>
        </row>
        <row r="352">
          <cell r="G352">
            <v>68600</v>
          </cell>
          <cell r="I352">
            <v>137200</v>
          </cell>
          <cell r="K352">
            <v>2800</v>
          </cell>
          <cell r="L352">
            <v>8400</v>
          </cell>
          <cell r="M352">
            <v>16800</v>
          </cell>
          <cell r="N352">
            <v>25200</v>
          </cell>
          <cell r="O352">
            <v>28000</v>
          </cell>
          <cell r="P352">
            <v>28000</v>
          </cell>
          <cell r="Q352">
            <v>28000</v>
          </cell>
        </row>
        <row r="353">
          <cell r="G353">
            <v>0</v>
          </cell>
          <cell r="I353">
            <v>0</v>
          </cell>
          <cell r="K353">
            <v>0</v>
          </cell>
          <cell r="L353">
            <v>0</v>
          </cell>
          <cell r="M353">
            <v>0</v>
          </cell>
          <cell r="N353">
            <v>0</v>
          </cell>
          <cell r="O353">
            <v>0</v>
          </cell>
          <cell r="P353">
            <v>0</v>
          </cell>
          <cell r="Q353">
            <v>0</v>
          </cell>
        </row>
        <row r="354">
          <cell r="K354">
            <v>0</v>
          </cell>
          <cell r="L354">
            <v>0</v>
          </cell>
          <cell r="M354">
            <v>0</v>
          </cell>
          <cell r="N354">
            <v>0</v>
          </cell>
          <cell r="O354">
            <v>0</v>
          </cell>
          <cell r="P354">
            <v>0</v>
          </cell>
          <cell r="Q354">
            <v>0</v>
          </cell>
        </row>
        <row r="355">
          <cell r="K355">
            <v>0</v>
          </cell>
          <cell r="L355">
            <v>0</v>
          </cell>
          <cell r="M355">
            <v>0</v>
          </cell>
          <cell r="N355">
            <v>0</v>
          </cell>
          <cell r="O355">
            <v>0</v>
          </cell>
          <cell r="P355">
            <v>0</v>
          </cell>
          <cell r="Q355">
            <v>0</v>
          </cell>
        </row>
        <row r="356">
          <cell r="K356">
            <v>0</v>
          </cell>
          <cell r="L356">
            <v>0</v>
          </cell>
          <cell r="M356">
            <v>0</v>
          </cell>
          <cell r="N356">
            <v>0</v>
          </cell>
          <cell r="O356">
            <v>0</v>
          </cell>
          <cell r="P356">
            <v>0</v>
          </cell>
          <cell r="Q356">
            <v>0</v>
          </cell>
        </row>
        <row r="357">
          <cell r="G357">
            <v>0</v>
          </cell>
          <cell r="I357">
            <v>0</v>
          </cell>
          <cell r="K357">
            <v>0</v>
          </cell>
          <cell r="L357">
            <v>0</v>
          </cell>
          <cell r="M357">
            <v>0</v>
          </cell>
          <cell r="N357">
            <v>0</v>
          </cell>
          <cell r="O357">
            <v>0</v>
          </cell>
          <cell r="P357">
            <v>0</v>
          </cell>
          <cell r="Q357">
            <v>0</v>
          </cell>
        </row>
        <row r="358">
          <cell r="K358">
            <v>0</v>
          </cell>
          <cell r="L358">
            <v>0</v>
          </cell>
          <cell r="M358">
            <v>0</v>
          </cell>
          <cell r="N358">
            <v>0</v>
          </cell>
          <cell r="O358">
            <v>0</v>
          </cell>
          <cell r="P358">
            <v>0</v>
          </cell>
          <cell r="Q358">
            <v>0</v>
          </cell>
        </row>
        <row r="359">
          <cell r="K359">
            <v>0</v>
          </cell>
          <cell r="L359">
            <v>0</v>
          </cell>
          <cell r="M359">
            <v>0</v>
          </cell>
          <cell r="N359">
            <v>0</v>
          </cell>
          <cell r="O359">
            <v>0</v>
          </cell>
          <cell r="P359">
            <v>0</v>
          </cell>
          <cell r="Q359">
            <v>0</v>
          </cell>
        </row>
        <row r="360">
          <cell r="K360">
            <v>0</v>
          </cell>
          <cell r="L360">
            <v>0</v>
          </cell>
          <cell r="M360">
            <v>0</v>
          </cell>
          <cell r="N360">
            <v>0</v>
          </cell>
          <cell r="O360">
            <v>0</v>
          </cell>
          <cell r="P360">
            <v>0</v>
          </cell>
          <cell r="Q360">
            <v>0</v>
          </cell>
        </row>
        <row r="362">
          <cell r="G362">
            <v>350</v>
          </cell>
          <cell r="K362">
            <v>5250</v>
          </cell>
          <cell r="L362">
            <v>10500</v>
          </cell>
          <cell r="M362">
            <v>15750</v>
          </cell>
          <cell r="N362">
            <v>15750</v>
          </cell>
          <cell r="O362">
            <v>5250</v>
          </cell>
          <cell r="P362">
            <v>0</v>
          </cell>
          <cell r="Q362">
            <v>0</v>
          </cell>
        </row>
        <row r="363">
          <cell r="G363">
            <v>60</v>
          </cell>
          <cell r="K363">
            <v>3750</v>
          </cell>
          <cell r="L363">
            <v>7500</v>
          </cell>
          <cell r="M363">
            <v>11250</v>
          </cell>
          <cell r="N363">
            <v>11250</v>
          </cell>
          <cell r="O363">
            <v>3750</v>
          </cell>
          <cell r="P363">
            <v>0</v>
          </cell>
          <cell r="Q363">
            <v>0</v>
          </cell>
        </row>
        <row r="364">
          <cell r="G364">
            <v>350</v>
          </cell>
          <cell r="H364">
            <v>935</v>
          </cell>
          <cell r="K364">
            <v>32725</v>
          </cell>
          <cell r="L364">
            <v>65450</v>
          </cell>
          <cell r="M364">
            <v>98175</v>
          </cell>
          <cell r="N364">
            <v>98175</v>
          </cell>
          <cell r="O364">
            <v>32725</v>
          </cell>
          <cell r="P364">
            <v>0</v>
          </cell>
          <cell r="Q364">
            <v>0</v>
          </cell>
        </row>
        <row r="365">
          <cell r="G365">
            <v>60</v>
          </cell>
          <cell r="K365">
            <v>3960</v>
          </cell>
          <cell r="L365">
            <v>7920</v>
          </cell>
          <cell r="M365">
            <v>11880</v>
          </cell>
          <cell r="N365">
            <v>11880</v>
          </cell>
          <cell r="O365">
            <v>3960</v>
          </cell>
          <cell r="P365">
            <v>0</v>
          </cell>
          <cell r="Q365">
            <v>0</v>
          </cell>
        </row>
      </sheetData>
      <sheetData sheetId="29" refreshError="1">
        <row r="346">
          <cell r="G346">
            <v>2248500</v>
          </cell>
        </row>
        <row r="347">
          <cell r="G347">
            <v>2998</v>
          </cell>
        </row>
        <row r="348">
          <cell r="G348">
            <v>11992</v>
          </cell>
        </row>
        <row r="349">
          <cell r="G349">
            <v>29980</v>
          </cell>
        </row>
        <row r="350">
          <cell r="G350">
            <v>344770</v>
          </cell>
        </row>
        <row r="351">
          <cell r="G351">
            <v>95936</v>
          </cell>
        </row>
        <row r="352">
          <cell r="G352">
            <v>587640</v>
          </cell>
          <cell r="I352">
            <v>1175280</v>
          </cell>
          <cell r="K352">
            <v>24000</v>
          </cell>
          <cell r="L352">
            <v>72000</v>
          </cell>
          <cell r="M352">
            <v>143920</v>
          </cell>
          <cell r="N352">
            <v>215840</v>
          </cell>
          <cell r="O352">
            <v>239840</v>
          </cell>
          <cell r="P352">
            <v>239840</v>
          </cell>
          <cell r="Q352">
            <v>239840</v>
          </cell>
        </row>
        <row r="353">
          <cell r="G353">
            <v>0</v>
          </cell>
          <cell r="I353">
            <v>0</v>
          </cell>
          <cell r="K353">
            <v>0</v>
          </cell>
          <cell r="L353">
            <v>0</v>
          </cell>
          <cell r="M353">
            <v>0</v>
          </cell>
          <cell r="N353">
            <v>0</v>
          </cell>
          <cell r="O353">
            <v>0</v>
          </cell>
          <cell r="P353">
            <v>0</v>
          </cell>
          <cell r="Q353">
            <v>0</v>
          </cell>
        </row>
        <row r="354">
          <cell r="K354">
            <v>0</v>
          </cell>
          <cell r="L354">
            <v>0</v>
          </cell>
          <cell r="M354">
            <v>0</v>
          </cell>
          <cell r="N354">
            <v>0</v>
          </cell>
          <cell r="O354">
            <v>0</v>
          </cell>
          <cell r="P354">
            <v>0</v>
          </cell>
          <cell r="Q354">
            <v>0</v>
          </cell>
        </row>
        <row r="355">
          <cell r="K355">
            <v>0</v>
          </cell>
          <cell r="L355">
            <v>0</v>
          </cell>
          <cell r="M355">
            <v>0</v>
          </cell>
          <cell r="N355">
            <v>0</v>
          </cell>
          <cell r="O355">
            <v>0</v>
          </cell>
          <cell r="P355">
            <v>0</v>
          </cell>
          <cell r="Q355">
            <v>0</v>
          </cell>
        </row>
        <row r="356">
          <cell r="K356">
            <v>0</v>
          </cell>
          <cell r="L356">
            <v>0</v>
          </cell>
          <cell r="M356">
            <v>0</v>
          </cell>
          <cell r="N356">
            <v>0</v>
          </cell>
          <cell r="O356">
            <v>0</v>
          </cell>
          <cell r="P356">
            <v>0</v>
          </cell>
          <cell r="Q356">
            <v>0</v>
          </cell>
        </row>
        <row r="357">
          <cell r="G357">
            <v>0</v>
          </cell>
          <cell r="I357">
            <v>0</v>
          </cell>
          <cell r="K357">
            <v>0</v>
          </cell>
          <cell r="L357">
            <v>0</v>
          </cell>
          <cell r="M357">
            <v>0</v>
          </cell>
          <cell r="N357">
            <v>0</v>
          </cell>
          <cell r="O357">
            <v>0</v>
          </cell>
          <cell r="P357">
            <v>0</v>
          </cell>
          <cell r="Q357">
            <v>0</v>
          </cell>
        </row>
        <row r="358">
          <cell r="K358">
            <v>0</v>
          </cell>
          <cell r="L358">
            <v>0</v>
          </cell>
          <cell r="M358">
            <v>0</v>
          </cell>
          <cell r="N358">
            <v>0</v>
          </cell>
          <cell r="O358">
            <v>0</v>
          </cell>
          <cell r="P358">
            <v>0</v>
          </cell>
          <cell r="Q358">
            <v>0</v>
          </cell>
        </row>
        <row r="359">
          <cell r="K359">
            <v>0</v>
          </cell>
          <cell r="L359">
            <v>0</v>
          </cell>
          <cell r="M359">
            <v>0</v>
          </cell>
          <cell r="N359">
            <v>0</v>
          </cell>
          <cell r="O359">
            <v>0</v>
          </cell>
          <cell r="P359">
            <v>0</v>
          </cell>
          <cell r="Q359">
            <v>0</v>
          </cell>
        </row>
        <row r="360">
          <cell r="K360">
            <v>0</v>
          </cell>
          <cell r="L360">
            <v>0</v>
          </cell>
          <cell r="M360">
            <v>0</v>
          </cell>
          <cell r="N360">
            <v>0</v>
          </cell>
          <cell r="O360">
            <v>0</v>
          </cell>
          <cell r="P360">
            <v>0</v>
          </cell>
          <cell r="Q360">
            <v>0</v>
          </cell>
        </row>
        <row r="365">
          <cell r="G365">
            <v>500</v>
          </cell>
          <cell r="K365">
            <v>33000</v>
          </cell>
          <cell r="L365">
            <v>66000</v>
          </cell>
          <cell r="M365">
            <v>99000</v>
          </cell>
          <cell r="N365">
            <v>99000</v>
          </cell>
          <cell r="O365">
            <v>33000</v>
          </cell>
          <cell r="P365">
            <v>0</v>
          </cell>
          <cell r="Q365">
            <v>0</v>
          </cell>
        </row>
      </sheetData>
      <sheetData sheetId="30" refreshError="1">
        <row r="281">
          <cell r="G281">
            <v>298520</v>
          </cell>
        </row>
        <row r="282">
          <cell r="G282">
            <v>298520</v>
          </cell>
        </row>
        <row r="283">
          <cell r="G283">
            <v>298520</v>
          </cell>
        </row>
        <row r="284">
          <cell r="G284">
            <v>122920</v>
          </cell>
        </row>
        <row r="285">
          <cell r="G285">
            <v>122920</v>
          </cell>
        </row>
        <row r="286">
          <cell r="G286">
            <v>263400</v>
          </cell>
        </row>
        <row r="287">
          <cell r="G287">
            <v>158040</v>
          </cell>
        </row>
        <row r="288">
          <cell r="G288">
            <v>1757</v>
          </cell>
        </row>
        <row r="289">
          <cell r="G289">
            <v>158040</v>
          </cell>
        </row>
        <row r="290">
          <cell r="G290">
            <v>112384</v>
          </cell>
        </row>
        <row r="291">
          <cell r="G291">
            <v>1757</v>
          </cell>
        </row>
        <row r="292">
          <cell r="G292">
            <v>140480</v>
          </cell>
          <cell r="I292">
            <v>280960</v>
          </cell>
          <cell r="K292">
            <v>28080</v>
          </cell>
          <cell r="L292">
            <v>56160</v>
          </cell>
          <cell r="M292">
            <v>84320</v>
          </cell>
          <cell r="N292">
            <v>84320</v>
          </cell>
          <cell r="O292">
            <v>28080</v>
          </cell>
          <cell r="P292">
            <v>0</v>
          </cell>
          <cell r="Q292">
            <v>0</v>
          </cell>
        </row>
        <row r="293">
          <cell r="G293">
            <v>0</v>
          </cell>
          <cell r="I293">
            <v>0</v>
          </cell>
          <cell r="K293">
            <v>0</v>
          </cell>
          <cell r="L293">
            <v>0</v>
          </cell>
          <cell r="M293">
            <v>0</v>
          </cell>
          <cell r="N293">
            <v>0</v>
          </cell>
          <cell r="O293">
            <v>0</v>
          </cell>
          <cell r="P293">
            <v>0</v>
          </cell>
          <cell r="Q293">
            <v>0</v>
          </cell>
        </row>
        <row r="294">
          <cell r="K294">
            <v>0</v>
          </cell>
          <cell r="L294">
            <v>0</v>
          </cell>
          <cell r="M294">
            <v>0</v>
          </cell>
          <cell r="N294">
            <v>0</v>
          </cell>
          <cell r="O294">
            <v>0</v>
          </cell>
          <cell r="P294">
            <v>0</v>
          </cell>
          <cell r="Q294">
            <v>0</v>
          </cell>
        </row>
        <row r="295">
          <cell r="G295">
            <v>122920</v>
          </cell>
          <cell r="H295">
            <v>0.46800000000000003</v>
          </cell>
          <cell r="K295">
            <v>5749.38</v>
          </cell>
          <cell r="L295">
            <v>11498.76</v>
          </cell>
          <cell r="M295">
            <v>17264.52</v>
          </cell>
          <cell r="N295">
            <v>17264.52</v>
          </cell>
          <cell r="O295">
            <v>5749.38</v>
          </cell>
          <cell r="P295">
            <v>0</v>
          </cell>
          <cell r="Q295">
            <v>0</v>
          </cell>
        </row>
        <row r="296">
          <cell r="G296">
            <v>0</v>
          </cell>
          <cell r="I296">
            <v>0</v>
          </cell>
          <cell r="K296">
            <v>0</v>
          </cell>
          <cell r="L296">
            <v>0</v>
          </cell>
          <cell r="M296">
            <v>0</v>
          </cell>
          <cell r="N296">
            <v>0</v>
          </cell>
          <cell r="O296">
            <v>0</v>
          </cell>
          <cell r="P296">
            <v>0</v>
          </cell>
          <cell r="Q296">
            <v>0</v>
          </cell>
        </row>
        <row r="297">
          <cell r="K297">
            <v>0</v>
          </cell>
          <cell r="L297">
            <v>0</v>
          </cell>
          <cell r="M297">
            <v>0</v>
          </cell>
          <cell r="N297">
            <v>0</v>
          </cell>
          <cell r="O297">
            <v>0</v>
          </cell>
          <cell r="P297">
            <v>0</v>
          </cell>
          <cell r="Q297">
            <v>0</v>
          </cell>
        </row>
        <row r="298">
          <cell r="K298">
            <v>0</v>
          </cell>
          <cell r="L298">
            <v>0</v>
          </cell>
          <cell r="M298">
            <v>0</v>
          </cell>
          <cell r="N298">
            <v>0</v>
          </cell>
          <cell r="O298">
            <v>0</v>
          </cell>
          <cell r="P298">
            <v>0</v>
          </cell>
          <cell r="Q298">
            <v>0</v>
          </cell>
        </row>
        <row r="299">
          <cell r="K299">
            <v>0</v>
          </cell>
          <cell r="L299">
            <v>0</v>
          </cell>
          <cell r="M299">
            <v>0</v>
          </cell>
          <cell r="N299">
            <v>0</v>
          </cell>
          <cell r="O299">
            <v>0</v>
          </cell>
          <cell r="P299">
            <v>0</v>
          </cell>
          <cell r="Q299">
            <v>0</v>
          </cell>
        </row>
        <row r="300">
          <cell r="K300">
            <v>0</v>
          </cell>
          <cell r="L300">
            <v>0</v>
          </cell>
          <cell r="M300">
            <v>0</v>
          </cell>
          <cell r="N300">
            <v>0</v>
          </cell>
          <cell r="O300">
            <v>0</v>
          </cell>
          <cell r="P300">
            <v>0</v>
          </cell>
          <cell r="Q300">
            <v>0</v>
          </cell>
        </row>
        <row r="301">
          <cell r="K301">
            <v>0</v>
          </cell>
          <cell r="L301">
            <v>0</v>
          </cell>
          <cell r="M301">
            <v>0</v>
          </cell>
          <cell r="N301">
            <v>0</v>
          </cell>
          <cell r="O301">
            <v>0</v>
          </cell>
          <cell r="P301">
            <v>0</v>
          </cell>
          <cell r="Q301">
            <v>0</v>
          </cell>
        </row>
        <row r="303">
          <cell r="G303">
            <v>3512</v>
          </cell>
          <cell r="K303">
            <v>52650</v>
          </cell>
          <cell r="L303">
            <v>105300</v>
          </cell>
          <cell r="M303">
            <v>158100</v>
          </cell>
          <cell r="N303">
            <v>158100</v>
          </cell>
          <cell r="O303">
            <v>52650</v>
          </cell>
          <cell r="P303">
            <v>0</v>
          </cell>
          <cell r="Q303">
            <v>0</v>
          </cell>
        </row>
        <row r="304">
          <cell r="G304">
            <v>587</v>
          </cell>
          <cell r="K304">
            <v>36875</v>
          </cell>
          <cell r="L304">
            <v>73125</v>
          </cell>
          <cell r="M304">
            <v>110000</v>
          </cell>
          <cell r="N304">
            <v>110000</v>
          </cell>
          <cell r="O304">
            <v>36875</v>
          </cell>
          <cell r="P304">
            <v>0</v>
          </cell>
          <cell r="Q304">
            <v>0</v>
          </cell>
        </row>
        <row r="305">
          <cell r="G305">
            <v>587</v>
          </cell>
          <cell r="H305">
            <v>660</v>
          </cell>
          <cell r="K305">
            <v>38940</v>
          </cell>
          <cell r="L305">
            <v>77220</v>
          </cell>
          <cell r="M305">
            <v>116160</v>
          </cell>
          <cell r="N305">
            <v>116160</v>
          </cell>
          <cell r="O305">
            <v>38940</v>
          </cell>
          <cell r="P305">
            <v>0</v>
          </cell>
          <cell r="Q305">
            <v>0</v>
          </cell>
        </row>
      </sheetData>
      <sheetData sheetId="31" refreshError="1">
        <row r="281">
          <cell r="G281">
            <v>29750</v>
          </cell>
        </row>
        <row r="282">
          <cell r="G282">
            <v>29750</v>
          </cell>
        </row>
        <row r="283">
          <cell r="G283">
            <v>29750</v>
          </cell>
        </row>
        <row r="284">
          <cell r="G284">
            <v>12250</v>
          </cell>
        </row>
        <row r="285">
          <cell r="G285">
            <v>12250</v>
          </cell>
        </row>
        <row r="286">
          <cell r="G286">
            <v>26250</v>
          </cell>
        </row>
        <row r="287">
          <cell r="G287">
            <v>15750</v>
          </cell>
        </row>
        <row r="288">
          <cell r="G288">
            <v>15750</v>
          </cell>
        </row>
        <row r="289">
          <cell r="G289">
            <v>177</v>
          </cell>
        </row>
        <row r="290">
          <cell r="G290">
            <v>11200</v>
          </cell>
        </row>
        <row r="291">
          <cell r="G291">
            <v>177</v>
          </cell>
        </row>
        <row r="292">
          <cell r="G292">
            <v>14000</v>
          </cell>
          <cell r="I292">
            <v>28000</v>
          </cell>
          <cell r="K292">
            <v>2800</v>
          </cell>
          <cell r="L292">
            <v>5600</v>
          </cell>
          <cell r="M292">
            <v>8400</v>
          </cell>
          <cell r="N292">
            <v>8400</v>
          </cell>
          <cell r="O292">
            <v>2800</v>
          </cell>
          <cell r="P292">
            <v>0</v>
          </cell>
          <cell r="Q292">
            <v>0</v>
          </cell>
        </row>
        <row r="293">
          <cell r="G293">
            <v>0</v>
          </cell>
          <cell r="I293">
            <v>0</v>
          </cell>
          <cell r="K293">
            <v>0</v>
          </cell>
          <cell r="L293">
            <v>0</v>
          </cell>
          <cell r="M293">
            <v>0</v>
          </cell>
          <cell r="N293">
            <v>0</v>
          </cell>
          <cell r="O293">
            <v>0</v>
          </cell>
          <cell r="P293">
            <v>0</v>
          </cell>
          <cell r="Q293">
            <v>0</v>
          </cell>
        </row>
        <row r="294">
          <cell r="K294">
            <v>0</v>
          </cell>
          <cell r="L294">
            <v>0</v>
          </cell>
          <cell r="M294">
            <v>0</v>
          </cell>
          <cell r="N294">
            <v>0</v>
          </cell>
          <cell r="O294">
            <v>0</v>
          </cell>
          <cell r="P294">
            <v>0</v>
          </cell>
          <cell r="Q294">
            <v>0</v>
          </cell>
        </row>
        <row r="295">
          <cell r="G295">
            <v>12250</v>
          </cell>
          <cell r="K295">
            <v>573.30000000000007</v>
          </cell>
          <cell r="L295">
            <v>1146.6000000000001</v>
          </cell>
          <cell r="M295">
            <v>1719.9</v>
          </cell>
          <cell r="N295">
            <v>1719.9</v>
          </cell>
          <cell r="O295">
            <v>573.30000000000007</v>
          </cell>
          <cell r="P295">
            <v>0</v>
          </cell>
          <cell r="Q295">
            <v>0</v>
          </cell>
        </row>
        <row r="296">
          <cell r="G296">
            <v>0</v>
          </cell>
          <cell r="I296">
            <v>0</v>
          </cell>
          <cell r="K296">
            <v>0</v>
          </cell>
          <cell r="L296">
            <v>0</v>
          </cell>
          <cell r="M296">
            <v>0</v>
          </cell>
          <cell r="N296">
            <v>0</v>
          </cell>
          <cell r="O296">
            <v>0</v>
          </cell>
          <cell r="P296">
            <v>0</v>
          </cell>
          <cell r="Q296">
            <v>0</v>
          </cell>
        </row>
        <row r="297">
          <cell r="K297">
            <v>0</v>
          </cell>
          <cell r="L297">
            <v>0</v>
          </cell>
          <cell r="M297">
            <v>0</v>
          </cell>
          <cell r="N297">
            <v>0</v>
          </cell>
          <cell r="O297">
            <v>0</v>
          </cell>
          <cell r="P297">
            <v>0</v>
          </cell>
          <cell r="Q297">
            <v>0</v>
          </cell>
        </row>
        <row r="298">
          <cell r="K298">
            <v>0</v>
          </cell>
          <cell r="L298">
            <v>0</v>
          </cell>
          <cell r="M298">
            <v>0</v>
          </cell>
          <cell r="N298">
            <v>0</v>
          </cell>
          <cell r="O298">
            <v>0</v>
          </cell>
          <cell r="P298">
            <v>0</v>
          </cell>
          <cell r="Q298">
            <v>0</v>
          </cell>
        </row>
        <row r="299">
          <cell r="K299">
            <v>0</v>
          </cell>
          <cell r="L299">
            <v>0</v>
          </cell>
          <cell r="M299">
            <v>0</v>
          </cell>
          <cell r="N299">
            <v>0</v>
          </cell>
          <cell r="O299">
            <v>0</v>
          </cell>
          <cell r="P299">
            <v>0</v>
          </cell>
          <cell r="Q299">
            <v>0</v>
          </cell>
        </row>
        <row r="300">
          <cell r="K300">
            <v>0</v>
          </cell>
          <cell r="L300">
            <v>0</v>
          </cell>
          <cell r="M300">
            <v>0</v>
          </cell>
          <cell r="N300">
            <v>0</v>
          </cell>
          <cell r="O300">
            <v>0</v>
          </cell>
          <cell r="P300">
            <v>0</v>
          </cell>
          <cell r="Q300">
            <v>0</v>
          </cell>
        </row>
        <row r="301">
          <cell r="K301">
            <v>0</v>
          </cell>
          <cell r="L301">
            <v>0</v>
          </cell>
          <cell r="M301">
            <v>0</v>
          </cell>
          <cell r="N301">
            <v>0</v>
          </cell>
          <cell r="O301">
            <v>0</v>
          </cell>
          <cell r="P301">
            <v>0</v>
          </cell>
          <cell r="Q301">
            <v>0</v>
          </cell>
        </row>
        <row r="303">
          <cell r="G303">
            <v>350</v>
          </cell>
          <cell r="K303">
            <v>5250</v>
          </cell>
          <cell r="L303">
            <v>10500</v>
          </cell>
          <cell r="M303">
            <v>15750</v>
          </cell>
          <cell r="N303">
            <v>15750</v>
          </cell>
          <cell r="O303">
            <v>5250</v>
          </cell>
          <cell r="P303">
            <v>0</v>
          </cell>
          <cell r="Q303">
            <v>0</v>
          </cell>
        </row>
        <row r="304">
          <cell r="G304">
            <v>350</v>
          </cell>
          <cell r="K304">
            <v>21875</v>
          </cell>
          <cell r="L304">
            <v>43750</v>
          </cell>
          <cell r="M304">
            <v>65625</v>
          </cell>
          <cell r="N304">
            <v>65625</v>
          </cell>
          <cell r="O304">
            <v>21875</v>
          </cell>
          <cell r="P304">
            <v>0</v>
          </cell>
          <cell r="Q304">
            <v>0</v>
          </cell>
        </row>
        <row r="305">
          <cell r="G305">
            <v>350</v>
          </cell>
          <cell r="K305">
            <v>32725</v>
          </cell>
          <cell r="L305">
            <v>65450</v>
          </cell>
          <cell r="M305">
            <v>98175</v>
          </cell>
          <cell r="N305">
            <v>98175</v>
          </cell>
          <cell r="O305">
            <v>32725</v>
          </cell>
          <cell r="P305">
            <v>0</v>
          </cell>
          <cell r="Q305">
            <v>0</v>
          </cell>
        </row>
        <row r="306">
          <cell r="G306">
            <v>60</v>
          </cell>
          <cell r="K306">
            <v>3960</v>
          </cell>
          <cell r="L306">
            <v>7920</v>
          </cell>
          <cell r="M306">
            <v>11880</v>
          </cell>
          <cell r="N306">
            <v>11880</v>
          </cell>
          <cell r="O306">
            <v>3960</v>
          </cell>
          <cell r="P306">
            <v>0</v>
          </cell>
          <cell r="Q306">
            <v>0</v>
          </cell>
        </row>
      </sheetData>
      <sheetData sheetId="32" refreshError="1">
        <row r="281">
          <cell r="G281">
            <v>495465</v>
          </cell>
        </row>
        <row r="282">
          <cell r="G282">
            <v>495465</v>
          </cell>
        </row>
        <row r="283">
          <cell r="G283">
            <v>495465</v>
          </cell>
        </row>
        <row r="284">
          <cell r="G284">
            <v>204015</v>
          </cell>
        </row>
        <row r="285">
          <cell r="G285">
            <v>204015</v>
          </cell>
        </row>
        <row r="286">
          <cell r="G286">
            <v>437175</v>
          </cell>
        </row>
        <row r="287">
          <cell r="G287">
            <v>262305</v>
          </cell>
        </row>
        <row r="288">
          <cell r="G288">
            <v>262305</v>
          </cell>
        </row>
        <row r="289">
          <cell r="G289">
            <v>2916</v>
          </cell>
        </row>
        <row r="290">
          <cell r="G290">
            <v>186528</v>
          </cell>
        </row>
        <row r="291">
          <cell r="G291">
            <v>2916</v>
          </cell>
        </row>
        <row r="292">
          <cell r="G292">
            <v>233160</v>
          </cell>
          <cell r="I292">
            <v>466320</v>
          </cell>
          <cell r="K292">
            <v>46640</v>
          </cell>
          <cell r="L292">
            <v>93280</v>
          </cell>
          <cell r="M292">
            <v>139920</v>
          </cell>
          <cell r="N292">
            <v>139920</v>
          </cell>
          <cell r="O292">
            <v>46560</v>
          </cell>
          <cell r="P292">
            <v>0</v>
          </cell>
          <cell r="Q292">
            <v>0</v>
          </cell>
        </row>
        <row r="293">
          <cell r="G293">
            <v>0</v>
          </cell>
          <cell r="I293">
            <v>0</v>
          </cell>
          <cell r="K293">
            <v>0</v>
          </cell>
          <cell r="L293">
            <v>0</v>
          </cell>
          <cell r="M293">
            <v>0</v>
          </cell>
          <cell r="N293">
            <v>0</v>
          </cell>
          <cell r="O293">
            <v>0</v>
          </cell>
          <cell r="P293">
            <v>0</v>
          </cell>
          <cell r="Q293">
            <v>0</v>
          </cell>
        </row>
        <row r="294">
          <cell r="K294">
            <v>0</v>
          </cell>
          <cell r="L294">
            <v>0</v>
          </cell>
          <cell r="M294">
            <v>0</v>
          </cell>
          <cell r="N294">
            <v>0</v>
          </cell>
          <cell r="O294">
            <v>0</v>
          </cell>
          <cell r="P294">
            <v>0</v>
          </cell>
          <cell r="Q294">
            <v>0</v>
          </cell>
        </row>
        <row r="295">
          <cell r="G295">
            <v>204015</v>
          </cell>
          <cell r="K295">
            <v>9549.5400000000009</v>
          </cell>
          <cell r="L295">
            <v>19099.080000000002</v>
          </cell>
          <cell r="M295">
            <v>28648.620000000003</v>
          </cell>
          <cell r="N295">
            <v>28648.620000000003</v>
          </cell>
          <cell r="O295">
            <v>9533.16</v>
          </cell>
          <cell r="P295">
            <v>0</v>
          </cell>
          <cell r="Q295">
            <v>0</v>
          </cell>
        </row>
        <row r="296">
          <cell r="G296">
            <v>0</v>
          </cell>
          <cell r="I296">
            <v>0</v>
          </cell>
          <cell r="K296">
            <v>0</v>
          </cell>
          <cell r="L296">
            <v>0</v>
          </cell>
          <cell r="M296">
            <v>0</v>
          </cell>
          <cell r="N296">
            <v>0</v>
          </cell>
          <cell r="O296">
            <v>0</v>
          </cell>
          <cell r="P296">
            <v>0</v>
          </cell>
          <cell r="Q296">
            <v>0</v>
          </cell>
        </row>
        <row r="297">
          <cell r="K297">
            <v>0</v>
          </cell>
          <cell r="L297">
            <v>0</v>
          </cell>
          <cell r="M297">
            <v>0</v>
          </cell>
          <cell r="N297">
            <v>0</v>
          </cell>
          <cell r="O297">
            <v>0</v>
          </cell>
          <cell r="P297">
            <v>0</v>
          </cell>
          <cell r="Q297">
            <v>0</v>
          </cell>
        </row>
        <row r="298">
          <cell r="K298">
            <v>0</v>
          </cell>
          <cell r="L298">
            <v>0</v>
          </cell>
          <cell r="M298">
            <v>0</v>
          </cell>
          <cell r="N298">
            <v>0</v>
          </cell>
          <cell r="O298">
            <v>0</v>
          </cell>
          <cell r="P298">
            <v>0</v>
          </cell>
          <cell r="Q298">
            <v>0</v>
          </cell>
        </row>
        <row r="299">
          <cell r="K299">
            <v>0</v>
          </cell>
          <cell r="L299">
            <v>0</v>
          </cell>
          <cell r="M299">
            <v>0</v>
          </cell>
          <cell r="N299">
            <v>0</v>
          </cell>
          <cell r="O299">
            <v>0</v>
          </cell>
          <cell r="P299">
            <v>0</v>
          </cell>
          <cell r="Q299">
            <v>0</v>
          </cell>
        </row>
        <row r="300">
          <cell r="K300">
            <v>0</v>
          </cell>
          <cell r="L300">
            <v>0</v>
          </cell>
          <cell r="M300">
            <v>0</v>
          </cell>
          <cell r="N300">
            <v>0</v>
          </cell>
          <cell r="O300">
            <v>0</v>
          </cell>
          <cell r="P300">
            <v>0</v>
          </cell>
          <cell r="Q300">
            <v>0</v>
          </cell>
        </row>
        <row r="301">
          <cell r="K301">
            <v>0</v>
          </cell>
          <cell r="L301">
            <v>0</v>
          </cell>
          <cell r="M301">
            <v>0</v>
          </cell>
          <cell r="N301">
            <v>0</v>
          </cell>
          <cell r="O301">
            <v>0</v>
          </cell>
          <cell r="P301">
            <v>0</v>
          </cell>
          <cell r="Q301">
            <v>0</v>
          </cell>
        </row>
        <row r="306">
          <cell r="G306">
            <v>972</v>
          </cell>
          <cell r="K306">
            <v>64020</v>
          </cell>
          <cell r="L306">
            <v>128040</v>
          </cell>
          <cell r="M306">
            <v>192720</v>
          </cell>
          <cell r="N306">
            <v>192720</v>
          </cell>
          <cell r="O306">
            <v>64020</v>
          </cell>
          <cell r="P306">
            <v>0</v>
          </cell>
          <cell r="Q306">
            <v>0</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row r="11">
          <cell r="E11">
            <v>3</v>
          </cell>
          <cell r="F11">
            <v>500</v>
          </cell>
        </row>
        <row r="12">
          <cell r="E12">
            <v>3</v>
          </cell>
          <cell r="F12">
            <v>800</v>
          </cell>
        </row>
        <row r="13">
          <cell r="E13">
            <v>1</v>
          </cell>
          <cell r="F13">
            <v>1500</v>
          </cell>
        </row>
        <row r="14">
          <cell r="E14">
            <v>1</v>
          </cell>
          <cell r="F14">
            <v>1000</v>
          </cell>
        </row>
        <row r="15">
          <cell r="E15">
            <v>1</v>
          </cell>
          <cell r="F15">
            <v>1000</v>
          </cell>
        </row>
        <row r="16">
          <cell r="E16">
            <v>3</v>
          </cell>
          <cell r="F16">
            <v>7000</v>
          </cell>
        </row>
        <row r="17">
          <cell r="E17">
            <v>2</v>
          </cell>
          <cell r="F17">
            <v>5000</v>
          </cell>
        </row>
        <row r="18">
          <cell r="E18">
            <v>2</v>
          </cell>
          <cell r="F18">
            <v>3000</v>
          </cell>
        </row>
        <row r="19">
          <cell r="E19">
            <v>3</v>
          </cell>
          <cell r="F19">
            <v>1800</v>
          </cell>
        </row>
        <row r="20">
          <cell r="E20">
            <v>2</v>
          </cell>
          <cell r="F20">
            <v>500</v>
          </cell>
        </row>
        <row r="21">
          <cell r="E21">
            <v>2</v>
          </cell>
          <cell r="F21">
            <v>1300</v>
          </cell>
        </row>
        <row r="22">
          <cell r="E22">
            <v>3</v>
          </cell>
          <cell r="F22">
            <v>10000</v>
          </cell>
        </row>
        <row r="23">
          <cell r="E23">
            <v>3</v>
          </cell>
          <cell r="F23">
            <v>10000</v>
          </cell>
        </row>
        <row r="24">
          <cell r="E24">
            <v>3</v>
          </cell>
          <cell r="F24">
            <v>1200</v>
          </cell>
        </row>
      </sheetData>
      <sheetData sheetId="42" refreshError="1">
        <row r="7">
          <cell r="C7" t="str">
            <v>Moto 125cc</v>
          </cell>
          <cell r="Q7">
            <v>7</v>
          </cell>
          <cell r="R7">
            <v>1500</v>
          </cell>
        </row>
        <row r="8">
          <cell r="Q8">
            <v>10</v>
          </cell>
          <cell r="R8">
            <v>195.84</v>
          </cell>
        </row>
        <row r="9">
          <cell r="Q9">
            <v>10</v>
          </cell>
          <cell r="R9">
            <v>67.930000000000007</v>
          </cell>
        </row>
        <row r="10">
          <cell r="Q10">
            <v>7</v>
          </cell>
          <cell r="R10">
            <v>50.38</v>
          </cell>
        </row>
        <row r="11">
          <cell r="Q11">
            <v>7</v>
          </cell>
          <cell r="R11">
            <v>1500</v>
          </cell>
        </row>
        <row r="12">
          <cell r="Q12">
            <v>10</v>
          </cell>
          <cell r="R12">
            <v>1500</v>
          </cell>
        </row>
        <row r="13">
          <cell r="C13" t="str">
            <v xml:space="preserve">UPS </v>
          </cell>
          <cell r="Q13">
            <v>10</v>
          </cell>
          <cell r="R13">
            <v>61</v>
          </cell>
        </row>
        <row r="14">
          <cell r="Q14">
            <v>9</v>
          </cell>
          <cell r="R14">
            <v>80</v>
          </cell>
        </row>
        <row r="15">
          <cell r="Q15">
            <v>10</v>
          </cell>
          <cell r="R15">
            <v>20</v>
          </cell>
        </row>
        <row r="16">
          <cell r="Q16">
            <v>8</v>
          </cell>
          <cell r="R16">
            <v>514</v>
          </cell>
        </row>
        <row r="17">
          <cell r="Q17">
            <v>3</v>
          </cell>
          <cell r="R17">
            <v>191.74</v>
          </cell>
        </row>
        <row r="18">
          <cell r="Q18">
            <v>5</v>
          </cell>
          <cell r="R18">
            <v>514</v>
          </cell>
        </row>
        <row r="19">
          <cell r="Q19">
            <v>4</v>
          </cell>
          <cell r="R19">
            <v>100</v>
          </cell>
        </row>
        <row r="20">
          <cell r="C20" t="str">
            <v>GPS</v>
          </cell>
          <cell r="Q20">
            <v>10</v>
          </cell>
          <cell r="R20">
            <v>700</v>
          </cell>
        </row>
        <row r="21">
          <cell r="Q21">
            <v>7</v>
          </cell>
          <cell r="R21">
            <v>9520</v>
          </cell>
        </row>
        <row r="22">
          <cell r="Q22">
            <v>7</v>
          </cell>
          <cell r="R22">
            <v>299990</v>
          </cell>
        </row>
      </sheetData>
      <sheetData sheetId="43" refreshError="1">
        <row r="5">
          <cell r="A5">
            <v>215</v>
          </cell>
        </row>
        <row r="10">
          <cell r="A10">
            <v>2100</v>
          </cell>
        </row>
      </sheetData>
      <sheetData sheetId="44" refreshError="1">
        <row r="52">
          <cell r="B52">
            <v>560509.02899999998</v>
          </cell>
          <cell r="C52">
            <v>234007.33806666668</v>
          </cell>
          <cell r="D52">
            <v>234007.33806666668</v>
          </cell>
          <cell r="E52">
            <v>234007.33806666668</v>
          </cell>
          <cell r="F52">
            <v>234007.33806666668</v>
          </cell>
          <cell r="G52">
            <v>234007.33806666668</v>
          </cell>
          <cell r="H52">
            <v>234007.33806666668</v>
          </cell>
          <cell r="I52">
            <v>1964553.0573999998</v>
          </cell>
        </row>
        <row r="54">
          <cell r="B54">
            <v>8699862.5999999996</v>
          </cell>
          <cell r="C54">
            <v>8699862.5999999996</v>
          </cell>
          <cell r="D54">
            <v>8699862.5999999996</v>
          </cell>
          <cell r="E54">
            <v>8699862.5999999996</v>
          </cell>
          <cell r="F54">
            <v>8699862.5999999996</v>
          </cell>
          <cell r="G54">
            <v>8699862.5999999996</v>
          </cell>
          <cell r="H54">
            <v>8699862.5999999996</v>
          </cell>
        </row>
      </sheetData>
      <sheetData sheetId="45" refreshError="1"/>
      <sheetData sheetId="46" refreshError="1"/>
      <sheetData sheetId="47" refreshError="1"/>
      <sheetData sheetId="48" refreshError="1">
        <row r="3">
          <cell r="B3" t="str">
            <v>Outcome 1: Increased CC-resilient production landscapes through investment in innovative agroforestry and sylvopastoral systems, reforestation with close-to-nature planted forests (CTNPFs) and assisted natural forest regeneration</v>
          </cell>
          <cell r="C3" t="str">
            <v>1.1 Restore approximately 15,544 ha of farmland from marabu, and increase CC-resilience through sustainable agroforestry (AF), CTNPFs and assisted natural regeneration (mitigation co-benefit 417,532 million tCO2-eq. in 7 years of implementation)</v>
          </cell>
          <cell r="D3" t="str">
            <v>1.1.1: Procure identified technologies and equipment</v>
          </cell>
        </row>
        <row r="4">
          <cell r="F4" t="str">
            <v>Equipment</v>
          </cell>
        </row>
        <row r="5">
          <cell r="D5" t="str">
            <v>1.1.2: Develop training materials for operations and maintenance</v>
          </cell>
        </row>
        <row r="6">
          <cell r="D6" t="str">
            <v>1.1.3: Train 74 machinery operators</v>
          </cell>
        </row>
        <row r="7">
          <cell r="D7" t="str">
            <v xml:space="preserve">1.1.4: Apply technologies to marabu eradication on 15,544 ha </v>
          </cell>
        </row>
        <row r="9">
          <cell r="D9" t="str">
            <v>1.1.5: Construct 896 water security systems (storage facilities and irrigation)</v>
          </cell>
        </row>
        <row r="10">
          <cell r="D10" t="str">
            <v xml:space="preserve">1.1.6: Establish and implement agroforestry, reforestation and assisted natural regeneration modules </v>
          </cell>
        </row>
        <row r="20">
          <cell r="C20" t="str">
            <v>1.2 Restore approximately 20,189 ha of rangeland with compacted soils and increase CC-resilience through improved sylvopastoral systems (mitigation net co-benefit 703,225.3 million t CO2eq in 7 years of implementation).</v>
          </cell>
          <cell r="D20" t="str">
            <v>1.2.1: Procure and field identified technologies and equipment</v>
          </cell>
        </row>
        <row r="22">
          <cell r="D22" t="str">
            <v xml:space="preserve">1.2.2: Develop training materials </v>
          </cell>
        </row>
        <row r="23">
          <cell r="D23" t="str">
            <v xml:space="preserve">1.2.3: Train 68 machinery operators  </v>
          </cell>
        </row>
        <row r="24">
          <cell r="D24" t="str">
            <v>1.2.4: Implement sub-soiling of 20,189 hectares of compacted rangeland</v>
          </cell>
        </row>
        <row r="25">
          <cell r="D25" t="str">
            <v>1.2.5: Construct 11,362 small-scale water security systems (storage and livestock drinking facilities)</v>
          </cell>
        </row>
        <row r="26">
          <cell r="D26" t="str">
            <v xml:space="preserve">1.2.6: Establish and implement sylvopastoral modules, including improved grazing systems </v>
          </cell>
        </row>
        <row r="34">
          <cell r="P34" t="str">
            <v>AF</v>
          </cell>
        </row>
        <row r="36">
          <cell r="C36" t="str">
            <v>2.1 Increase institutional capacities to support farmers and producers’ organizations to establish and maintain agroforestry, sylvopastoral and forestry systems for improved ecosystem services</v>
          </cell>
          <cell r="D36" t="str">
            <v>2.1.1: Develop training   materials for use by trainers of extensionists</v>
          </cell>
        </row>
        <row r="37">
          <cell r="D37" t="str">
            <v>2.1.2: Train 443 extension service technicians, agricultural technicians, and cooperative leaders   to lead  farmers in gender and age-sensitive learning-by-doing regarding the implementation, operations and maintenance of their agroforestry or forestry systems; topics covered may include no-till cultivation; inter-cropping; cut-and-carry forage feeding; sub-soiling; soil conservation with gabions, gully plugs, bunds, and contour farming; agroforestry and sylvopastoral system design; application of efficient irrigation technologies and water harvesting and storage systems and others;</v>
          </cell>
        </row>
        <row r="38">
          <cell r="D38" t="str">
            <v>2.1.3: Development of supplementary learning materials and information on CC, ecosystem function and services, agroecology, agroforestry and forestry systems, and farm economics;</v>
          </cell>
        </row>
        <row r="39">
          <cell r="C39" t="str">
            <v xml:space="preserve">2.2 Train agricultural producers to collectively revitalize and manage production landscapes for gender-equitable climate-resilient agriculture and ecosystem services
</v>
          </cell>
          <cell r="D39" t="str">
            <v>2.2.1: Establish or strengthen existing Farmer Field Schools (17) in the seven municipalities based on type of agroforestry, sylvopastoral or forestry system to be implemented and logistical and other considerations ;</v>
          </cell>
        </row>
        <row r="43">
          <cell r="D43" t="str">
            <v>2.2.2: Implementation of 17 Farmer Field Schools and training of 15,549   farmers using the participatory research and learning-by-doing approach.</v>
          </cell>
        </row>
        <row r="48">
          <cell r="C48" t="str">
            <v>3.1 Develop, discuss and analyze options for policy reforms to support implementation of agroforestry, sylvopastoral and forestry systems for landscape resilience through improved ecosystem services</v>
          </cell>
          <cell r="D48" t="str">
            <v xml:space="preserve">3.1.1: Ten workshops with expert assistance and input (international and national experts) to facilitate inter-institutional analyses and discussions regarding policy objectives, needs and options for the modification or reform of agricultural and land-use policy; </v>
          </cell>
        </row>
        <row r="50">
          <cell r="D50" t="str">
            <v>3.1.2: Definition and discussion of institutional modifications or adaptations in support of the different options for policy reforms to support landscape resilience through improved ecosystem services;</v>
          </cell>
          <cell r="F50" t="str">
            <v>International Consultants</v>
          </cell>
          <cell r="G50" t="str">
            <v>International consultancies for the formulation of proposals for reforms of policy, regulatory, planning instruments</v>
          </cell>
        </row>
        <row r="51">
          <cell r="D51" t="str">
            <v>3.1.3: Development of specific proposals for policy reforms;</v>
          </cell>
        </row>
        <row r="52">
          <cell r="D52" t="str">
            <v>3.1.4: Discussion of reform proposals at national level.</v>
          </cell>
        </row>
        <row r="53">
          <cell r="C53" t="str">
            <v>3.2 Establish a Landscape Resilience Fund to support adoption and implementation of agroforestry, sylvopastoral and forestry systems in support of landscape resilience through ecosystem service enhancement</v>
          </cell>
          <cell r="D53" t="str">
            <v>3.2.1: Expert analyses of existing funds (FONADEF, SCF) and other funds both regionally and globally;</v>
          </cell>
        </row>
        <row r="54">
          <cell r="D54" t="str">
            <v>3.2.2: Ten workshops to analyze and develop options for a Landscape Resilience Fund to support implementation of landscape resilience policies on the ground;</v>
          </cell>
        </row>
        <row r="55">
          <cell r="D55" t="str">
            <v>3.2.3: Design of a Landscape Resilience Fund to support resilience-enhancing land use by farmers and producers’ organizations;</v>
          </cell>
        </row>
        <row r="56">
          <cell r="D56" t="str">
            <v>3.2.4: Formal legal establishment of the Landscape Resilience Fund;</v>
          </cell>
        </row>
        <row r="57">
          <cell r="D57" t="str">
            <v>3.2.5: Elaboration of communication strategy and materials, and dissemination.</v>
          </cell>
        </row>
        <row r="60">
          <cell r="C60" t="str">
            <v>3.3 Strengthen planning, governance and coordination at the landscape level in support of landscape resilience through enhancement of ecosystem services</v>
          </cell>
          <cell r="D60" t="str">
            <v>3.3.1: Train 30 senior management staff from 10 local branches of established organizations   (Asociacion Cubana de Tecnicos Agricolas y Forestales - ACTAF, Asociacion Cubana de Produccion Animal - ACPA, Asociacion Nacional de Agricultures Pequeños -ANAP, and Federaciòn de Mujeres Cubanas - FMC) to participate effectively in local planning and decision-making processes;</v>
          </cell>
        </row>
        <row r="61">
          <cell r="D61" t="str">
            <v>3.3.2: Multi-level review and analysis of landscape resilience policies and planning instruments as a framework for adaptive landscape management;</v>
          </cell>
        </row>
        <row r="62">
          <cell r="D62" t="str">
            <v>3.3.3: Fifteen workshops to strengthen coordination in local landscape governance structures for climate change adaptation: Comision de Reforestacion, Grupo de Bahia, Comision de Cuencas Hidrograficas, Comision de Asuntos Agrarios; Grupos Provinciales y Municipales de Tarea Vida.</v>
          </cell>
        </row>
        <row r="68">
          <cell r="C68" t="str">
            <v>PMU</v>
          </cell>
        </row>
      </sheetData>
      <sheetData sheetId="49" refreshError="1">
        <row r="8">
          <cell r="G8">
            <v>4444147.6500000004</v>
          </cell>
        </row>
        <row r="76">
          <cell r="G76">
            <v>1730773.9379999996</v>
          </cell>
        </row>
        <row r="83">
          <cell r="G83">
            <v>117000</v>
          </cell>
        </row>
        <row r="100">
          <cell r="F100">
            <v>6000</v>
          </cell>
        </row>
        <row r="102">
          <cell r="G102">
            <v>2221747.58</v>
          </cell>
        </row>
        <row r="129">
          <cell r="B129">
            <v>12</v>
          </cell>
          <cell r="F129">
            <v>500</v>
          </cell>
        </row>
        <row r="132">
          <cell r="G132">
            <v>10500</v>
          </cell>
        </row>
        <row r="133">
          <cell r="G133">
            <v>4500</v>
          </cell>
        </row>
        <row r="134">
          <cell r="G134">
            <v>4500</v>
          </cell>
        </row>
        <row r="136">
          <cell r="G136">
            <v>1668671.75</v>
          </cell>
        </row>
        <row r="173">
          <cell r="G173">
            <v>2000</v>
          </cell>
        </row>
        <row r="176">
          <cell r="G176">
            <v>7000</v>
          </cell>
        </row>
        <row r="177">
          <cell r="G177">
            <v>7000</v>
          </cell>
        </row>
        <row r="203">
          <cell r="G203">
            <v>1166183.0189999999</v>
          </cell>
        </row>
        <row r="213">
          <cell r="G213">
            <v>4500</v>
          </cell>
        </row>
        <row r="215">
          <cell r="G215">
            <v>6000</v>
          </cell>
        </row>
        <row r="227">
          <cell r="G227">
            <v>3000</v>
          </cell>
        </row>
        <row r="228">
          <cell r="G228">
            <v>3000</v>
          </cell>
        </row>
        <row r="230">
          <cell r="G230">
            <v>3000</v>
          </cell>
        </row>
        <row r="231">
          <cell r="G231">
            <v>3000</v>
          </cell>
        </row>
        <row r="232">
          <cell r="G232">
            <v>3000</v>
          </cell>
        </row>
        <row r="235">
          <cell r="G235">
            <v>35000</v>
          </cell>
        </row>
        <row r="236">
          <cell r="G236">
            <v>15000</v>
          </cell>
        </row>
        <row r="239">
          <cell r="G239">
            <v>20000</v>
          </cell>
        </row>
        <row r="240">
          <cell r="G240">
            <v>20000</v>
          </cell>
        </row>
        <row r="243">
          <cell r="G243">
            <v>70000</v>
          </cell>
        </row>
        <row r="244">
          <cell r="G244">
            <v>70000</v>
          </cell>
        </row>
        <row r="247">
          <cell r="G247">
            <v>9500</v>
          </cell>
        </row>
        <row r="248">
          <cell r="F248">
            <v>5000</v>
          </cell>
        </row>
        <row r="251">
          <cell r="F251">
            <v>4000</v>
          </cell>
        </row>
        <row r="253">
          <cell r="G253">
            <v>4500</v>
          </cell>
        </row>
        <row r="257">
          <cell r="G257">
            <v>40000</v>
          </cell>
        </row>
        <row r="258">
          <cell r="G258">
            <v>40000</v>
          </cell>
        </row>
        <row r="259">
          <cell r="G259">
            <v>20000</v>
          </cell>
        </row>
        <row r="260">
          <cell r="G260">
            <v>20000</v>
          </cell>
        </row>
        <row r="261">
          <cell r="G261">
            <v>8000</v>
          </cell>
        </row>
        <row r="262">
          <cell r="G262">
            <v>8000</v>
          </cell>
        </row>
        <row r="263">
          <cell r="G263">
            <v>8000</v>
          </cell>
        </row>
        <row r="265">
          <cell r="G265">
            <v>240870</v>
          </cell>
        </row>
        <row r="274">
          <cell r="G274">
            <v>15000</v>
          </cell>
        </row>
        <row r="275">
          <cell r="G275">
            <v>15000</v>
          </cell>
        </row>
        <row r="276">
          <cell r="G276">
            <v>7500</v>
          </cell>
        </row>
        <row r="277">
          <cell r="G277">
            <v>7500</v>
          </cell>
        </row>
        <row r="278">
          <cell r="G278">
            <v>7500</v>
          </cell>
        </row>
        <row r="279">
          <cell r="G279">
            <v>7500</v>
          </cell>
        </row>
        <row r="344">
          <cell r="G344">
            <v>3500</v>
          </cell>
        </row>
        <row r="345">
          <cell r="G345">
            <v>4000</v>
          </cell>
        </row>
        <row r="348">
          <cell r="G348">
            <v>5000</v>
          </cell>
        </row>
        <row r="390">
          <cell r="G390">
            <v>487200</v>
          </cell>
        </row>
      </sheetData>
      <sheetData sheetId="50" refreshError="1"/>
      <sheetData sheetId="51" refreshError="1">
        <row r="4">
          <cell r="A4" t="str">
            <v>Outcome 1: Increased CC-resilient production landscapes through investment in innovative agroforestry and sylvopastoral systems, reforestation with close-to-nature planted forests (CTNPFs) and assisted natural forest regeneration</v>
          </cell>
        </row>
        <row r="5">
          <cell r="A5" t="str">
            <v xml:space="preserve">1.1 </v>
          </cell>
          <cell r="B5" t="str">
            <v>Restore approximately 15,544 ha of farmland from marabu, and increase CC-resilience through sustainable agroforestry (AF), CTNPFs and assisted natural regeneration (mitigation co-benefit 417,532 milli</v>
          </cell>
        </row>
        <row r="6">
          <cell r="A6" t="str">
            <v xml:space="preserve">1.1.1: </v>
          </cell>
          <cell r="B6" t="str">
            <v xml:space="preserve"> Procure identified technologies and equipment</v>
          </cell>
        </row>
        <row r="7">
          <cell r="A7" t="str">
            <v xml:space="preserve">1.1.2: </v>
          </cell>
          <cell r="B7" t="str">
            <v xml:space="preserve"> Develop training materials for operations and maintenance</v>
          </cell>
        </row>
        <row r="8">
          <cell r="A8" t="str">
            <v xml:space="preserve">1.1.3: </v>
          </cell>
          <cell r="B8" t="str">
            <v xml:space="preserve"> Train 74 machinery operators</v>
          </cell>
        </row>
        <row r="9">
          <cell r="A9" t="str">
            <v xml:space="preserve">1.1.4: </v>
          </cell>
          <cell r="B9" t="str">
            <v xml:space="preserve"> Apply technologies to marabu eradication on 15,544 ha </v>
          </cell>
        </row>
        <row r="10">
          <cell r="A10" t="str">
            <v xml:space="preserve">1.1.5: </v>
          </cell>
          <cell r="B10" t="str">
            <v xml:space="preserve"> Construct 896 water security systems (storage facilities and irrigation)</v>
          </cell>
        </row>
        <row r="11">
          <cell r="A11" t="str">
            <v xml:space="preserve">1.1.6: </v>
          </cell>
          <cell r="B11" t="str">
            <v xml:space="preserve"> Establish and implement agroforestry, reforestation and assisted natural regeneration modules </v>
          </cell>
        </row>
        <row r="12">
          <cell r="A12" t="str">
            <v xml:space="preserve">1.2 </v>
          </cell>
          <cell r="B12" t="str">
            <v>Restore approximately 20,189 ha of rangeland with compacted soils and increase CC-resilience through improved sylvopastoral systems (mitigation net co-benefit 703,225.3 million t CO2eq in 7 years of i</v>
          </cell>
        </row>
        <row r="13">
          <cell r="A13" t="str">
            <v xml:space="preserve">1.2.1: </v>
          </cell>
          <cell r="B13" t="str">
            <v xml:space="preserve"> Procure and field identified technologies and equipment</v>
          </cell>
        </row>
        <row r="14">
          <cell r="A14" t="str">
            <v xml:space="preserve">1.2.2: </v>
          </cell>
          <cell r="B14" t="str">
            <v xml:space="preserve"> Develop training materials </v>
          </cell>
        </row>
        <row r="15">
          <cell r="A15" t="str">
            <v xml:space="preserve">1.2.3: </v>
          </cell>
          <cell r="B15" t="str">
            <v xml:space="preserve"> Train 68 machinery operators  </v>
          </cell>
        </row>
        <row r="16">
          <cell r="A16" t="str">
            <v xml:space="preserve">1.2.4: </v>
          </cell>
          <cell r="B16" t="str">
            <v xml:space="preserve"> Implement sub-soiling of 20,189 hectares of compacted rangeland</v>
          </cell>
        </row>
        <row r="17">
          <cell r="A17" t="str">
            <v xml:space="preserve">1.2.5: </v>
          </cell>
          <cell r="B17" t="str">
            <v xml:space="preserve"> Construct 11,362 small-scale water security systems (storage and livestock drinking facilities)</v>
          </cell>
        </row>
        <row r="18">
          <cell r="A18" t="str">
            <v xml:space="preserve">1.2.6: </v>
          </cell>
          <cell r="B18" t="str">
            <v xml:space="preserve"> Establish and implement sylvopastoral modules, including improved grazing systems </v>
          </cell>
        </row>
        <row r="20">
          <cell r="A20" t="str">
            <v xml:space="preserve">2.1 </v>
          </cell>
          <cell r="B20" t="str">
            <v>Increase institutional capacities to support farmers and producers’ organizations to establish and maintain agroforestry, sylvopastoral and forestry systems for improved ecosystem services</v>
          </cell>
        </row>
        <row r="21">
          <cell r="A21" t="str">
            <v xml:space="preserve">2.1.1: </v>
          </cell>
          <cell r="B21" t="str">
            <v xml:space="preserve"> Develop training   materials for use by trainers of extensionists</v>
          </cell>
        </row>
        <row r="22">
          <cell r="A22" t="str">
            <v xml:space="preserve">2.1.2: </v>
          </cell>
          <cell r="B22" t="str">
            <v xml:space="preserve"> Train 443 extension service technicians, agricultural technicians, and cooperative leaders   to lead  farmers in gender and age-sensitive learning-by-doing regarding the implementation, operations an</v>
          </cell>
        </row>
        <row r="23">
          <cell r="A23" t="str">
            <v xml:space="preserve">2.1.3: </v>
          </cell>
          <cell r="B23" t="str">
            <v xml:space="preserve"> Development of supplementary learning materials and information on CC, ecosystem function and services, agroecology, agroforestry and forestry systems, and farm economics;</v>
          </cell>
        </row>
        <row r="24">
          <cell r="A24" t="str">
            <v xml:space="preserve">2.2 </v>
          </cell>
          <cell r="B24" t="str">
            <v xml:space="preserve">Train agricultural producers to collectively revitalize and manage production landscapes for gender-equitable climate-resilient agriculture and ecosystem services
</v>
          </cell>
        </row>
        <row r="25">
          <cell r="A25" t="str">
            <v xml:space="preserve">2.2.1: </v>
          </cell>
          <cell r="B25" t="str">
            <v xml:space="preserve"> Establish or strengthen existing Farmer Field Schools (17) in the seven municipalities based on type of agroforestry, sylvopastoral or forestry system to be implemented and logistical and other consi</v>
          </cell>
        </row>
        <row r="26">
          <cell r="A26" t="str">
            <v xml:space="preserve">2.2.2: </v>
          </cell>
          <cell r="B26" t="str">
            <v xml:space="preserve"> Implementation of 17 Farmer Field Schools and training of 15,549   farmers using the participatory research and learning-by-doing approach.</v>
          </cell>
        </row>
        <row r="28">
          <cell r="A28" t="str">
            <v xml:space="preserve">3.1 </v>
          </cell>
          <cell r="B28" t="str">
            <v>Develop, discuss and analyze options for policy reforms to support implementation of agroforestry, sylvopastoral and forestry systems for landscape resilience through improved ecos</v>
          </cell>
        </row>
        <row r="29">
          <cell r="A29" t="str">
            <v xml:space="preserve">3.1.1: </v>
          </cell>
          <cell r="B29" t="str">
            <v xml:space="preserve"> Ten workshops with expert assistance and input (international and national experts) to facilitate inter-institutional analyses and discussions regarding policy objectives, needs and options for the m</v>
          </cell>
        </row>
        <row r="30">
          <cell r="A30" t="str">
            <v xml:space="preserve">3.1.2: </v>
          </cell>
          <cell r="B30" t="str">
            <v xml:space="preserve"> Definition and discussion of institutional modifications or adaptations in support of the different options for policy reforms to support landscape resilience through improved ecosystem services;</v>
          </cell>
        </row>
        <row r="31">
          <cell r="A31" t="str">
            <v xml:space="preserve">3.1.3: </v>
          </cell>
          <cell r="B31" t="str">
            <v xml:space="preserve"> Development of specific proposals for policy reforms;</v>
          </cell>
        </row>
        <row r="32">
          <cell r="A32" t="str">
            <v xml:space="preserve">3.1.4: </v>
          </cell>
          <cell r="B32" t="str">
            <v xml:space="preserve"> Discussion of reform proposals at national level.</v>
          </cell>
        </row>
        <row r="33">
          <cell r="A33" t="str">
            <v xml:space="preserve">3.2 </v>
          </cell>
          <cell r="B33" t="str">
            <v>Establish a Landscape Resilience Fund to support adoption and implementation of agroforestry, sylvopastoral and forestry systems in support of landscape resilience through ecosyste</v>
          </cell>
        </row>
        <row r="34">
          <cell r="A34" t="str">
            <v xml:space="preserve">3.2.1: </v>
          </cell>
          <cell r="B34" t="str">
            <v xml:space="preserve"> Expert analyses of existing funds (FONADEF, SCF) and other funds both regionally and globally;</v>
          </cell>
        </row>
        <row r="35">
          <cell r="A35" t="str">
            <v xml:space="preserve">3.2.2: </v>
          </cell>
          <cell r="B35" t="str">
            <v xml:space="preserve"> Ten workshops to analyze and develop options for a Landscape Resilience Fund to support implementation of landscape resilience policies on the ground;</v>
          </cell>
        </row>
        <row r="36">
          <cell r="A36" t="str">
            <v xml:space="preserve">3.2.3: </v>
          </cell>
          <cell r="B36" t="str">
            <v xml:space="preserve"> Design of a Landscape Resilience Fund to support resilience-enhancing land use by farmers and producers’ organizations;</v>
          </cell>
        </row>
        <row r="37">
          <cell r="A37" t="str">
            <v xml:space="preserve">3.2.4: </v>
          </cell>
          <cell r="B37" t="str">
            <v xml:space="preserve"> Formal legal establishment of the Landscape Resilience Fund;</v>
          </cell>
        </row>
        <row r="38">
          <cell r="A38" t="str">
            <v xml:space="preserve">3.2.5: </v>
          </cell>
          <cell r="B38" t="str">
            <v xml:space="preserve"> Elaboration of communication strategy and materials, and dissemination.</v>
          </cell>
        </row>
        <row r="39">
          <cell r="A39" t="str">
            <v xml:space="preserve">3.3 </v>
          </cell>
          <cell r="B39" t="str">
            <v>Strengthen planning, governance and coordination at the landscape level in support of landscape resilience through enhancement of ecosystem services</v>
          </cell>
        </row>
        <row r="40">
          <cell r="A40" t="str">
            <v xml:space="preserve">3.3.1: </v>
          </cell>
          <cell r="B40" t="str">
            <v xml:space="preserve"> Train 30 senior management staff from 10 local branches of established organizations   (Asociacion Cubana de Tecnicos Agricolas y Forestales - ACTAF, Asociacion Cubana de Produccion Animal - ACPA, As</v>
          </cell>
        </row>
        <row r="41">
          <cell r="A41" t="str">
            <v xml:space="preserve">3.3.2: </v>
          </cell>
          <cell r="B41" t="str">
            <v xml:space="preserve"> Multi-level review and analysis of landscape resilience policies and planning instruments as a framework for adaptive landscape management;</v>
          </cell>
        </row>
        <row r="42">
          <cell r="A42" t="str">
            <v xml:space="preserve">3.3.3: </v>
          </cell>
          <cell r="B42" t="str">
            <v xml:space="preserve"> Fifteen workshops to strengthen coordination in local landscape governance structures for climate change adaptation: Comision de Reforestacion, Grupo de Bahia, Comision de Cuencas Hidrograficas, Comi</v>
          </cell>
        </row>
      </sheetData>
      <sheetData sheetId="52" refreshError="1">
        <row r="4">
          <cell r="A4" t="str">
            <v>Outcome 1: Increased CC-resilient production landscapes through investment in innovative agroforestry and sylvopastoral systems, reforestation with close-to-nature planted forests (CTNPFs) and assisted natural forest regeneration</v>
          </cell>
        </row>
        <row r="6">
          <cell r="A6" t="str">
            <v xml:space="preserve">1.1.1: </v>
          </cell>
          <cell r="B6" t="str">
            <v xml:space="preserve"> Procure identified technologies and equipment</v>
          </cell>
        </row>
        <row r="7">
          <cell r="A7" t="str">
            <v xml:space="preserve">1.1.2: </v>
          </cell>
          <cell r="B7" t="str">
            <v xml:space="preserve"> Develop training materials for operations and maintenance</v>
          </cell>
        </row>
        <row r="8">
          <cell r="A8" t="str">
            <v xml:space="preserve">1.1.3: </v>
          </cell>
          <cell r="B8" t="str">
            <v xml:space="preserve"> Train 74 machinery operators</v>
          </cell>
        </row>
        <row r="9">
          <cell r="A9" t="str">
            <v xml:space="preserve">1.1.4: </v>
          </cell>
          <cell r="B9" t="str">
            <v xml:space="preserve"> Apply technologies to marabu eradication on 15,544 ha </v>
          </cell>
        </row>
        <row r="10">
          <cell r="A10" t="str">
            <v xml:space="preserve">1.1.5: </v>
          </cell>
          <cell r="B10" t="str">
            <v xml:space="preserve"> Construct 896 water security systems (storage facilities and irrigation)</v>
          </cell>
        </row>
        <row r="11">
          <cell r="A11" t="str">
            <v xml:space="preserve">1.1.6: </v>
          </cell>
          <cell r="B11" t="str">
            <v xml:space="preserve"> Establish and implement agroforestry, reforestation and assisted natural regeneration modules </v>
          </cell>
        </row>
        <row r="13">
          <cell r="A13" t="str">
            <v xml:space="preserve">1.2.1: </v>
          </cell>
          <cell r="B13" t="str">
            <v xml:space="preserve"> Procure and field identified technologies and equipment</v>
          </cell>
        </row>
        <row r="14">
          <cell r="A14" t="str">
            <v xml:space="preserve">1.2.2: </v>
          </cell>
          <cell r="B14" t="str">
            <v xml:space="preserve"> Develop training materials </v>
          </cell>
        </row>
        <row r="15">
          <cell r="A15" t="str">
            <v xml:space="preserve">1.2.3: </v>
          </cell>
          <cell r="B15" t="str">
            <v xml:space="preserve"> Train 68 machinery operators  </v>
          </cell>
        </row>
        <row r="16">
          <cell r="A16" t="str">
            <v xml:space="preserve">1.2.4: </v>
          </cell>
          <cell r="B16" t="str">
            <v xml:space="preserve"> Implement sub-soiling of 20,189 hectares of compacted rangeland</v>
          </cell>
        </row>
        <row r="17">
          <cell r="A17" t="str">
            <v xml:space="preserve">1.2.5: </v>
          </cell>
          <cell r="B17" t="str">
            <v xml:space="preserve"> Construct 11,362 small-scale water security systems (storage and livestock drinking facilities)</v>
          </cell>
        </row>
        <row r="18">
          <cell r="A18" t="str">
            <v xml:space="preserve">1.2.6: </v>
          </cell>
          <cell r="B18" t="str">
            <v xml:space="preserve"> Establish and implement sylvopastoral modules, including improved grazing systems </v>
          </cell>
        </row>
        <row r="21">
          <cell r="A21" t="str">
            <v xml:space="preserve">2.1.1: </v>
          </cell>
          <cell r="B21" t="str">
            <v xml:space="preserve"> Develop training   materials for use by trainers of extensionists</v>
          </cell>
        </row>
        <row r="22">
          <cell r="A22" t="str">
            <v xml:space="preserve">2.1.2: </v>
          </cell>
          <cell r="B22" t="str">
            <v xml:space="preserve"> Train 443 extension service technicians, agricultural technicians, and cooperative leaders   to lead  farmers in gender and age-sensitive learning-by-doing regarding the implementation, operations an</v>
          </cell>
        </row>
        <row r="23">
          <cell r="A23" t="str">
            <v xml:space="preserve">2.1.3: </v>
          </cell>
          <cell r="B23" t="str">
            <v xml:space="preserve"> Development of supplementary learning materials and information on CC, ecosystem function and services, agroecology, agroforestry and forestry systems, and farm economics;</v>
          </cell>
        </row>
        <row r="25">
          <cell r="A25" t="str">
            <v xml:space="preserve">2.2.1: </v>
          </cell>
          <cell r="B25" t="str">
            <v xml:space="preserve"> Establish or strengthen existing Farmer Field Schools (17) in the seven municipalities based on type of agroforestry, sylvopastoral or forestry system to be implemented and logistical and other consi</v>
          </cell>
        </row>
        <row r="26">
          <cell r="A26" t="str">
            <v xml:space="preserve">2.2.2: </v>
          </cell>
          <cell r="B26" t="str">
            <v xml:space="preserve"> Implementation of 17 Farmer Field Schools and training of 15,549   farmers using the participatory research and learning-by-doing approach.</v>
          </cell>
        </row>
        <row r="29">
          <cell r="A29" t="str">
            <v xml:space="preserve">3.1.1: </v>
          </cell>
          <cell r="B29" t="str">
            <v xml:space="preserve"> Ten workshops with expert assistance and input (international and national experts) to facilitate inter-institutional analyses and discussions regarding policy objectives, needs and options for the m</v>
          </cell>
        </row>
        <row r="30">
          <cell r="A30" t="str">
            <v xml:space="preserve">3.1.2: </v>
          </cell>
          <cell r="B30" t="str">
            <v xml:space="preserve"> Definition and discussion of institutional modifications or adaptations in support of the different options for policy reforms to support landscape resilience through improved ecosystem services;</v>
          </cell>
        </row>
        <row r="31">
          <cell r="A31" t="str">
            <v xml:space="preserve">3.1.3: </v>
          </cell>
          <cell r="B31" t="str">
            <v xml:space="preserve"> Development of specific proposals for policy reforms;</v>
          </cell>
        </row>
        <row r="32">
          <cell r="A32" t="str">
            <v xml:space="preserve">3.1.4: </v>
          </cell>
          <cell r="B32" t="str">
            <v xml:space="preserve"> Discussion of reform proposals at national level.</v>
          </cell>
        </row>
        <row r="34">
          <cell r="A34" t="str">
            <v xml:space="preserve">3.2.1: </v>
          </cell>
          <cell r="B34" t="str">
            <v xml:space="preserve"> Expert analyses of existing funds (FONADEF, SCF) and other funds both regionally and globally;</v>
          </cell>
        </row>
        <row r="35">
          <cell r="A35" t="str">
            <v xml:space="preserve">3.2.2: </v>
          </cell>
          <cell r="B35" t="str">
            <v xml:space="preserve"> Ten workshops to analyze and develop options for a Landscape Resilience Fund to support implementation of landscape resilience policies on the ground;</v>
          </cell>
        </row>
        <row r="36">
          <cell r="A36" t="str">
            <v xml:space="preserve">3.2.3: </v>
          </cell>
          <cell r="B36" t="str">
            <v xml:space="preserve"> Design of a Landscape Resilience Fund to support resilience-enhancing land use by farmers and producers’ organizations;</v>
          </cell>
        </row>
        <row r="37">
          <cell r="A37" t="str">
            <v xml:space="preserve">3.2.4: </v>
          </cell>
          <cell r="B37" t="str">
            <v xml:space="preserve"> Formal legal establishment of the Landscape Resilience Fund;</v>
          </cell>
        </row>
        <row r="38">
          <cell r="A38" t="str">
            <v xml:space="preserve">3.2.5: </v>
          </cell>
          <cell r="B38" t="str">
            <v xml:space="preserve"> Elaboration of communication strategy and materials, and dissemination.</v>
          </cell>
        </row>
        <row r="40">
          <cell r="A40" t="str">
            <v xml:space="preserve">3.3.1: </v>
          </cell>
          <cell r="B40" t="str">
            <v xml:space="preserve"> Train 30 senior management staff from 10 local branches of established organizations   (Asociacion Cubana de Tecnicos Agricolas y Forestales - ACTAF, Asociacion Cubana de Produccion Animal - ACPA, As</v>
          </cell>
        </row>
        <row r="41">
          <cell r="A41" t="str">
            <v xml:space="preserve">3.3.2: </v>
          </cell>
          <cell r="B41" t="str">
            <v xml:space="preserve"> Multi-level review and analysis of landscape resilience policies and planning instruments as a framework for adaptive landscape management;</v>
          </cell>
        </row>
        <row r="42">
          <cell r="A42" t="str">
            <v xml:space="preserve">3.3.3: </v>
          </cell>
          <cell r="B42" t="str">
            <v xml:space="preserve"> Fifteen workshops to strengthen coordination in local landscape governance structures for climate change adaptation: Comision de Reforestacion, Grupo de Bahia, Comision de Cuencas Hidrograficas, Comi</v>
          </cell>
        </row>
      </sheetData>
      <sheetData sheetId="53" refreshError="1"/>
      <sheetData sheetId="54" refreshError="1"/>
      <sheetData sheetId="55" refreshError="1"/>
      <sheetData sheetId="56" refreshError="1">
        <row r="9">
          <cell r="B9" t="str">
            <v>Desbrozadora BMH 480</v>
          </cell>
          <cell r="C9">
            <v>4</v>
          </cell>
          <cell r="D9">
            <v>700000</v>
          </cell>
        </row>
        <row r="10">
          <cell r="D10">
            <v>28500</v>
          </cell>
          <cell r="I10">
            <v>8</v>
          </cell>
          <cell r="J10">
            <v>6</v>
          </cell>
        </row>
        <row r="11">
          <cell r="D11">
            <v>24500</v>
          </cell>
          <cell r="I11">
            <v>12</v>
          </cell>
          <cell r="J11">
            <v>8</v>
          </cell>
        </row>
        <row r="12">
          <cell r="D12">
            <v>10000</v>
          </cell>
          <cell r="I12">
            <v>7</v>
          </cell>
        </row>
        <row r="13">
          <cell r="D13">
            <v>189700</v>
          </cell>
          <cell r="I13">
            <v>2</v>
          </cell>
          <cell r="J13">
            <v>2</v>
          </cell>
        </row>
        <row r="16">
          <cell r="D16">
            <v>341387</v>
          </cell>
          <cell r="I16">
            <v>2</v>
          </cell>
        </row>
        <row r="17">
          <cell r="D17">
            <v>6700</v>
          </cell>
          <cell r="I17">
            <v>5</v>
          </cell>
          <cell r="J17">
            <v>3</v>
          </cell>
        </row>
        <row r="18">
          <cell r="D18">
            <v>2500</v>
          </cell>
          <cell r="I18">
            <v>4</v>
          </cell>
          <cell r="J18">
            <v>3</v>
          </cell>
        </row>
        <row r="19">
          <cell r="D19">
            <v>1350</v>
          </cell>
          <cell r="I19">
            <v>4</v>
          </cell>
          <cell r="J19">
            <v>2</v>
          </cell>
        </row>
        <row r="20">
          <cell r="D20">
            <v>2700</v>
          </cell>
          <cell r="I20">
            <v>5</v>
          </cell>
          <cell r="J20">
            <v>3</v>
          </cell>
        </row>
        <row r="21">
          <cell r="D21">
            <v>12000</v>
          </cell>
          <cell r="I21">
            <v>7</v>
          </cell>
          <cell r="J21">
            <v>6</v>
          </cell>
        </row>
        <row r="22">
          <cell r="B22" t="str">
            <v>Trailer 7t</v>
          </cell>
          <cell r="D22">
            <v>6000</v>
          </cell>
          <cell r="I22">
            <v>5</v>
          </cell>
          <cell r="J22">
            <v>4</v>
          </cell>
        </row>
        <row r="23">
          <cell r="D23">
            <v>1650</v>
          </cell>
          <cell r="I23">
            <v>4</v>
          </cell>
          <cell r="J23">
            <v>3</v>
          </cell>
        </row>
        <row r="24">
          <cell r="D24">
            <v>9840</v>
          </cell>
          <cell r="I24">
            <v>4</v>
          </cell>
          <cell r="J24">
            <v>2</v>
          </cell>
        </row>
        <row r="25">
          <cell r="D25">
            <v>2500</v>
          </cell>
          <cell r="I25">
            <v>5</v>
          </cell>
          <cell r="J25">
            <v>3</v>
          </cell>
        </row>
        <row r="26">
          <cell r="D26">
            <v>800</v>
          </cell>
          <cell r="I26">
            <v>4</v>
          </cell>
          <cell r="J26">
            <v>3</v>
          </cell>
        </row>
        <row r="27">
          <cell r="D27">
            <v>6150</v>
          </cell>
          <cell r="J27">
            <v>5</v>
          </cell>
        </row>
        <row r="28">
          <cell r="D28">
            <v>21050</v>
          </cell>
          <cell r="J28">
            <v>5</v>
          </cell>
        </row>
        <row r="29">
          <cell r="D29">
            <v>21900</v>
          </cell>
          <cell r="J29">
            <v>5</v>
          </cell>
        </row>
        <row r="30">
          <cell r="D30">
            <v>8090</v>
          </cell>
          <cell r="J30">
            <v>5</v>
          </cell>
        </row>
        <row r="31">
          <cell r="D31">
            <v>8500</v>
          </cell>
          <cell r="J31">
            <v>5</v>
          </cell>
        </row>
        <row r="34">
          <cell r="D34">
            <v>150</v>
          </cell>
          <cell r="I34">
            <v>50</v>
          </cell>
          <cell r="J34">
            <v>50</v>
          </cell>
        </row>
        <row r="35">
          <cell r="D35">
            <v>485</v>
          </cell>
          <cell r="I35">
            <v>200</v>
          </cell>
          <cell r="J35">
            <v>100</v>
          </cell>
        </row>
        <row r="36">
          <cell r="D36">
            <v>200</v>
          </cell>
          <cell r="I36">
            <v>200</v>
          </cell>
          <cell r="J36">
            <v>100</v>
          </cell>
        </row>
        <row r="37">
          <cell r="D37">
            <v>300</v>
          </cell>
          <cell r="I37">
            <v>300</v>
          </cell>
          <cell r="J37">
            <v>100</v>
          </cell>
        </row>
        <row r="38">
          <cell r="D38">
            <v>286</v>
          </cell>
          <cell r="I38">
            <v>200</v>
          </cell>
          <cell r="J38">
            <v>100</v>
          </cell>
        </row>
        <row r="39">
          <cell r="D39">
            <v>406</v>
          </cell>
          <cell r="I39">
            <v>100</v>
          </cell>
          <cell r="J39">
            <v>50</v>
          </cell>
        </row>
        <row r="40">
          <cell r="D40">
            <v>75</v>
          </cell>
          <cell r="I40">
            <v>100</v>
          </cell>
          <cell r="J40">
            <v>50</v>
          </cell>
        </row>
        <row r="41">
          <cell r="D41">
            <v>515</v>
          </cell>
          <cell r="I41">
            <v>125</v>
          </cell>
          <cell r="J41">
            <v>75</v>
          </cell>
        </row>
        <row r="42">
          <cell r="D42">
            <v>290</v>
          </cell>
          <cell r="I42">
            <v>300</v>
          </cell>
          <cell r="J42">
            <v>100</v>
          </cell>
        </row>
        <row r="43">
          <cell r="D43">
            <v>225</v>
          </cell>
          <cell r="I43">
            <v>200</v>
          </cell>
          <cell r="J43">
            <v>100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efreshError="1">
        <row r="15">
          <cell r="G15">
            <v>655620</v>
          </cell>
        </row>
        <row r="33">
          <cell r="G33">
            <v>212732.1</v>
          </cell>
        </row>
        <row r="47">
          <cell r="G47">
            <v>117742.5</v>
          </cell>
        </row>
        <row r="49">
          <cell r="BI49">
            <v>8094581.1814428549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Detailed budget"/>
      <sheetName val="2.Detailed budget notes"/>
      <sheetName val="4. Budget"/>
      <sheetName val="3. Indicative procurement plan"/>
      <sheetName val="5. Fin Timeline"/>
      <sheetName val="6. Fin Timeline by fin Source"/>
      <sheetName val="7. Budget by Fin Resource"/>
      <sheetName val="8. Implementation timeline"/>
    </sheetNames>
    <sheetDataSet>
      <sheetData sheetId="0">
        <row r="67">
          <cell r="H67">
            <v>238789.84615384616</v>
          </cell>
          <cell r="I67">
            <v>247483.69230769231</v>
          </cell>
          <cell r="J67">
            <v>225483.69230769231</v>
          </cell>
          <cell r="K67">
            <v>228650.35897435897</v>
          </cell>
          <cell r="L67">
            <v>183483.69230769231</v>
          </cell>
          <cell r="M67">
            <v>146063.73771309771</v>
          </cell>
          <cell r="N67">
            <v>174736.98023562023</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s>
    <sheetDataSet>
      <sheetData sheetId="0">
        <row r="10">
          <cell r="G10">
            <v>420000</v>
          </cell>
        </row>
        <row r="11">
          <cell r="G11">
            <v>59850</v>
          </cell>
        </row>
        <row r="12">
          <cell r="G12">
            <v>51450</v>
          </cell>
        </row>
        <row r="13">
          <cell r="G13">
            <v>10500</v>
          </cell>
        </row>
        <row r="14">
          <cell r="G14">
            <v>113820</v>
          </cell>
        </row>
        <row r="15">
          <cell r="G15">
            <v>655620</v>
          </cell>
        </row>
        <row r="17">
          <cell r="G17">
            <v>102416.09999999999</v>
          </cell>
        </row>
        <row r="18">
          <cell r="G18">
            <v>8040</v>
          </cell>
        </row>
        <row r="19">
          <cell r="G19">
            <v>2625</v>
          </cell>
        </row>
        <row r="20">
          <cell r="G20">
            <v>1215</v>
          </cell>
        </row>
        <row r="21">
          <cell r="G21">
            <v>3240</v>
          </cell>
        </row>
        <row r="22">
          <cell r="G22">
            <v>23400</v>
          </cell>
        </row>
        <row r="23">
          <cell r="G23">
            <v>8100</v>
          </cell>
        </row>
        <row r="24">
          <cell r="G24">
            <v>1732.5</v>
          </cell>
        </row>
        <row r="25">
          <cell r="G25">
            <v>8856</v>
          </cell>
        </row>
        <row r="26">
          <cell r="G26">
            <v>3000</v>
          </cell>
        </row>
        <row r="27">
          <cell r="G27">
            <v>840</v>
          </cell>
        </row>
        <row r="28">
          <cell r="G28">
            <v>4612.5</v>
          </cell>
        </row>
        <row r="29">
          <cell r="G29">
            <v>15787.5</v>
          </cell>
        </row>
        <row r="30">
          <cell r="G30">
            <v>16425</v>
          </cell>
        </row>
        <row r="31">
          <cell r="G31">
            <v>6067.5</v>
          </cell>
        </row>
        <row r="32">
          <cell r="G32">
            <v>6375</v>
          </cell>
        </row>
        <row r="35">
          <cell r="G35">
            <v>2250</v>
          </cell>
        </row>
        <row r="36">
          <cell r="G36">
            <v>21825</v>
          </cell>
        </row>
        <row r="37">
          <cell r="G37">
            <v>9000</v>
          </cell>
        </row>
        <row r="38">
          <cell r="G38">
            <v>18000</v>
          </cell>
        </row>
        <row r="39">
          <cell r="G39">
            <v>12870</v>
          </cell>
        </row>
        <row r="40">
          <cell r="G40">
            <v>9135</v>
          </cell>
        </row>
        <row r="41">
          <cell r="G41">
            <v>1687.5</v>
          </cell>
        </row>
        <row r="42">
          <cell r="G42">
            <v>15450</v>
          </cell>
        </row>
        <row r="43">
          <cell r="G43">
            <v>17400</v>
          </cell>
        </row>
        <row r="44">
          <cell r="G44">
            <v>10125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AC104"/>
  <sheetViews>
    <sheetView showGridLines="0" tabSelected="1" view="pageBreakPreview" topLeftCell="A48" zoomScale="70" zoomScaleNormal="60" zoomScaleSheetLayoutView="70" workbookViewId="0">
      <selection activeCell="C48" sqref="C48:C52"/>
    </sheetView>
  </sheetViews>
  <sheetFormatPr defaultColWidth="9.140625" defaultRowHeight="14.45"/>
  <cols>
    <col min="1" max="1" width="12.140625" style="37" customWidth="1"/>
    <col min="2" max="2" width="15.85546875" style="37" customWidth="1"/>
    <col min="3" max="3" width="20.140625" style="37" customWidth="1"/>
    <col min="4" max="4" width="40.140625" style="37" customWidth="1"/>
    <col min="5" max="5" width="16.42578125" style="37" customWidth="1"/>
    <col min="6" max="6" width="14.42578125" style="37" customWidth="1"/>
    <col min="7" max="7" width="65.42578125" style="37" customWidth="1"/>
    <col min="8" max="8" width="25.42578125" style="37" bestFit="1" customWidth="1"/>
    <col min="9" max="14" width="18.42578125" style="37" bestFit="1" customWidth="1"/>
    <col min="15" max="15" width="16.42578125" style="37" bestFit="1" customWidth="1"/>
    <col min="16" max="16" width="14.42578125" style="56" bestFit="1" customWidth="1"/>
    <col min="17" max="17" width="11.85546875" style="56" bestFit="1" customWidth="1"/>
    <col min="18" max="18" width="11.85546875" style="37" bestFit="1" customWidth="1"/>
    <col min="19" max="19" width="10.42578125" style="37" customWidth="1"/>
    <col min="20" max="20" width="12.140625" style="37" customWidth="1"/>
    <col min="21" max="21" width="11" style="37" customWidth="1"/>
    <col min="22" max="22" width="10.85546875" style="37" customWidth="1"/>
    <col min="23" max="23" width="11.5703125" style="37" customWidth="1"/>
    <col min="24" max="24" width="10.42578125" style="37" customWidth="1"/>
    <col min="25" max="16384" width="9.140625" style="37"/>
  </cols>
  <sheetData>
    <row r="1" spans="1:25">
      <c r="A1" s="354"/>
      <c r="B1" s="354"/>
      <c r="C1" s="34"/>
      <c r="D1" s="34"/>
      <c r="E1" s="354" t="s">
        <v>0</v>
      </c>
      <c r="F1" s="354"/>
      <c r="G1" s="34"/>
      <c r="H1" s="34"/>
      <c r="I1" s="34"/>
      <c r="J1" s="34"/>
      <c r="K1" s="34"/>
      <c r="L1" s="34"/>
      <c r="M1" s="34"/>
      <c r="N1" s="34"/>
      <c r="O1" s="34"/>
      <c r="P1" s="35"/>
      <c r="Q1" s="259"/>
      <c r="R1" s="41"/>
      <c r="S1" s="41"/>
      <c r="T1" s="41"/>
      <c r="U1" s="41"/>
      <c r="V1" s="41"/>
      <c r="W1" s="41"/>
      <c r="X1" s="41"/>
      <c r="Y1" s="41"/>
    </row>
    <row r="2" spans="1:25" ht="45">
      <c r="A2" s="257" t="s">
        <v>1</v>
      </c>
      <c r="B2" s="38" t="s">
        <v>2</v>
      </c>
      <c r="C2" s="38" t="s">
        <v>3</v>
      </c>
      <c r="D2" s="38" t="s">
        <v>4</v>
      </c>
      <c r="E2" s="38" t="s">
        <v>5</v>
      </c>
      <c r="F2" s="38" t="s">
        <v>6</v>
      </c>
      <c r="G2" s="38" t="s">
        <v>7</v>
      </c>
      <c r="H2" s="38" t="s">
        <v>8</v>
      </c>
      <c r="I2" s="38" t="s">
        <v>9</v>
      </c>
      <c r="J2" s="38" t="s">
        <v>10</v>
      </c>
      <c r="K2" s="38" t="s">
        <v>11</v>
      </c>
      <c r="L2" s="38" t="s">
        <v>12</v>
      </c>
      <c r="M2" s="38" t="s">
        <v>13</v>
      </c>
      <c r="N2" s="38" t="s">
        <v>14</v>
      </c>
      <c r="O2" s="38" t="s">
        <v>15</v>
      </c>
      <c r="P2" s="38" t="s">
        <v>16</v>
      </c>
      <c r="Q2" s="260"/>
      <c r="R2" s="41"/>
      <c r="S2" s="41"/>
      <c r="T2" s="41"/>
      <c r="U2" s="41"/>
      <c r="V2" s="41"/>
      <c r="W2" s="41"/>
      <c r="X2" s="41"/>
      <c r="Y2" s="41"/>
    </row>
    <row r="3" spans="1:25" ht="101.45" customHeight="1">
      <c r="A3" s="371" t="s">
        <v>17</v>
      </c>
      <c r="B3" s="355" t="s">
        <v>18</v>
      </c>
      <c r="C3" s="356" t="s">
        <v>19</v>
      </c>
      <c r="D3" s="357" t="s">
        <v>20</v>
      </c>
      <c r="E3" s="351" t="s">
        <v>21</v>
      </c>
      <c r="F3" s="350" t="s">
        <v>22</v>
      </c>
      <c r="G3" s="39" t="s">
        <v>23</v>
      </c>
      <c r="H3" s="43">
        <f>'[1]2.Detailed budget notes'!G8*40%</f>
        <v>1777659.0600000003</v>
      </c>
      <c r="I3" s="43">
        <f>'[1]2.Detailed budget notes'!G8*40%</f>
        <v>1777659.0600000003</v>
      </c>
      <c r="J3" s="43">
        <f>'[1]2.Detailed budget notes'!G8*20%</f>
        <v>888829.53000000014</v>
      </c>
      <c r="K3" s="43"/>
      <c r="L3" s="43"/>
      <c r="M3" s="43"/>
      <c r="N3" s="43"/>
      <c r="O3" s="43">
        <f t="shared" ref="O3:O9" si="0">SUM(H3:N3)</f>
        <v>4444147.6500000004</v>
      </c>
      <c r="P3" s="326" t="s">
        <v>24</v>
      </c>
      <c r="Q3" s="261"/>
      <c r="R3" s="41"/>
      <c r="S3" s="41"/>
      <c r="T3" s="41"/>
      <c r="U3" s="41"/>
      <c r="V3" s="41"/>
      <c r="W3" s="41"/>
      <c r="X3" s="41"/>
      <c r="Y3" s="41"/>
    </row>
    <row r="4" spans="1:25" ht="38.1" customHeight="1">
      <c r="A4" s="372"/>
      <c r="B4" s="355"/>
      <c r="C4" s="356"/>
      <c r="D4" s="357"/>
      <c r="E4" s="351"/>
      <c r="F4" s="350"/>
      <c r="G4" s="50" t="s">
        <v>25</v>
      </c>
      <c r="H4" s="317">
        <f>(([2]Hoja1!$G$15+[2]Hoja1!$G$33+[2]Hoja1!$G$47)/7)*(O3/(O3+O20))</f>
        <v>102415.91627840082</v>
      </c>
      <c r="I4" s="317">
        <f t="shared" ref="I4:N4" si="1">H4</f>
        <v>102415.91627840082</v>
      </c>
      <c r="J4" s="317">
        <f t="shared" si="1"/>
        <v>102415.91627840082</v>
      </c>
      <c r="K4" s="317">
        <f t="shared" si="1"/>
        <v>102415.91627840082</v>
      </c>
      <c r="L4" s="317">
        <f t="shared" si="1"/>
        <v>102415.91627840082</v>
      </c>
      <c r="M4" s="317">
        <f t="shared" si="1"/>
        <v>102415.91627840082</v>
      </c>
      <c r="N4" s="317">
        <f t="shared" si="1"/>
        <v>102415.91627840082</v>
      </c>
      <c r="O4" s="317">
        <f t="shared" si="0"/>
        <v>716911.41394880577</v>
      </c>
      <c r="P4" s="318" t="s">
        <v>26</v>
      </c>
      <c r="Q4" s="261"/>
      <c r="R4" s="41"/>
      <c r="S4" s="41"/>
      <c r="T4" s="41"/>
      <c r="U4" s="41"/>
      <c r="V4" s="41"/>
      <c r="W4" s="41"/>
      <c r="X4" s="41"/>
      <c r="Y4" s="41"/>
    </row>
    <row r="5" spans="1:25" ht="38.1" customHeight="1">
      <c r="A5" s="372"/>
      <c r="B5" s="355"/>
      <c r="C5" s="356"/>
      <c r="D5" s="357"/>
      <c r="E5" s="351"/>
      <c r="F5" s="350"/>
      <c r="G5" s="44" t="s">
        <v>27</v>
      </c>
      <c r="H5" s="43">
        <f>('[1]14. Annex M2 MARREG'!K195+'[1]15. Annex M3 MARFOM'!K254)*(26.8201394130444/40)</f>
        <v>60398.953958175989</v>
      </c>
      <c r="I5" s="43">
        <f>('[1]14. Annex M2 MARREG'!L195+'[1]15. Annex M3 MARFOM'!L254)*(26.8201394130444/40)</f>
        <v>120824.72805576502</v>
      </c>
      <c r="J5" s="43">
        <f>('[1]14. Annex M2 MARREG'!M195+'[1]15. Annex M3 MARFOM'!M254)*(26.8201394130444/40)</f>
        <v>181223.68201394103</v>
      </c>
      <c r="K5" s="43">
        <f>('[1]14. Annex M2 MARREG'!N195+'[1]15. Annex M3 MARFOM'!N254)*(26.8201394130444/40)</f>
        <v>181223.68201394103</v>
      </c>
      <c r="L5" s="43">
        <f>('[1]14. Annex M2 MARREG'!O195+'[1]15. Annex M3 MARFOM'!O254)*(26.8201394130444/40)</f>
        <v>60398.953958175989</v>
      </c>
      <c r="M5" s="43">
        <f>'[1]14. Annex M2 MARREG'!P195+'[1]15. Annex M3 MARFOM'!P254</f>
        <v>0</v>
      </c>
      <c r="N5" s="43">
        <f>'[1]14. Annex M2 MARREG'!Q195+'[1]15. Annex M3 MARFOM'!Q254</f>
        <v>0</v>
      </c>
      <c r="O5" s="43">
        <f t="shared" si="0"/>
        <v>604069.99999999895</v>
      </c>
      <c r="P5" s="326" t="s">
        <v>28</v>
      </c>
      <c r="Q5" s="261"/>
      <c r="R5" s="41"/>
      <c r="S5" s="41"/>
      <c r="T5" s="41"/>
      <c r="U5" s="41"/>
      <c r="V5" s="41"/>
      <c r="W5" s="41"/>
      <c r="X5" s="41"/>
      <c r="Y5" s="41"/>
    </row>
    <row r="6" spans="1:25" ht="75" customHeight="1">
      <c r="A6" s="372"/>
      <c r="B6" s="355"/>
      <c r="C6" s="356"/>
      <c r="D6" s="357"/>
      <c r="E6" s="351"/>
      <c r="F6" s="350"/>
      <c r="G6" s="45" t="s">
        <v>29</v>
      </c>
      <c r="H6" s="43">
        <f>'[1]2.Detailed budget notes'!G76*10%</f>
        <v>173077.39379999996</v>
      </c>
      <c r="I6" s="43">
        <f>'[1]2.Detailed budget notes'!G76*20%</f>
        <v>346154.78759999992</v>
      </c>
      <c r="J6" s="43">
        <f>'[1]2.Detailed budget notes'!G76*30%</f>
        <v>519232.18139999988</v>
      </c>
      <c r="K6" s="43">
        <f>'[1]2.Detailed budget notes'!G76*20%</f>
        <v>346154.78759999992</v>
      </c>
      <c r="L6" s="43">
        <f>'[1]2.Detailed budget notes'!G76*10%</f>
        <v>173077.39379999996</v>
      </c>
      <c r="M6" s="43">
        <f>'[1]2.Detailed budget notes'!G76*5%+SUM('[1]13a. Annex M1 CEDPLA - Riego'!P273:P275)+SUM('[1]13b. Annex CEDPLA - Reservorio'!P276:P278)+SUM('[1]14. Annex M2 MARREG'!P196:P198)+SUM('[1]15. Annex M3 MARFOM'!P256:P258)+SUM('[1]16a. Annex M4 FRUAGR - Riego  '!P326:P328)+SUM('[1]16b. Annex M4 FRUAGR - Reservor'!P323:P325)+SUM('[1]16c. Annex M4 FRUAGR - Invierno'!P323:P325)+SUM('[1]17a. Annex M 5 SILLEC - Bebeder'!P358:P360)+SUM('[1]17b. Annex M5 - Reservorio'!P358:P360)+SUM('[1]17c. Annex M5 SILLEC - Manejo'!P358:P360)+SUM('[1]18a. Annex M6 SILSOM - Bebedero'!P299:P301)+SUM('[1]18b. Annex M6 - Reservorio'!P299:P301)+SUM('[1]18c. Annex M6 SILSOM - Manejo'!P299:P301)</f>
        <v>86538.696899999981</v>
      </c>
      <c r="N6" s="43">
        <f>'[1]2.Detailed budget notes'!G76*5%+SUM('[1]13a. Annex M1 CEDPLA - Riego'!Q273:Q275)+SUM('[1]13b. Annex CEDPLA - Reservorio'!Q276:Q278)+SUM('[1]14. Annex M2 MARREG'!Q196:Q198)+SUM('[1]15. Annex M3 MARFOM'!Q256:Q258)+SUM('[1]16a. Annex M4 FRUAGR - Riego  '!Q326:Q328)+SUM('[1]16b. Annex M4 FRUAGR - Reservor'!Q323:Q325)+SUM('[1]16c. Annex M4 FRUAGR - Invierno'!Q323:Q325)+SUM('[1]17a. Annex M 5 SILLEC - Bebeder'!Q358:Q360)+SUM('[1]17b. Annex M5 - Reservorio'!Q358:Q360)+SUM('[1]17c. Annex M5 SILLEC - Manejo'!Q358:Q360)+SUM('[1]18a. Annex M6 SILSOM - Bebedero'!Q299:Q301)+SUM('[1]18b. Annex M6 - Reservorio'!Q299:Q301)+SUM('[1]18c. Annex M6 SILSOM - Manejo'!Q299:Q301)</f>
        <v>86538.696899999981</v>
      </c>
      <c r="O6" s="43">
        <f t="shared" si="0"/>
        <v>1730773.9379999996</v>
      </c>
      <c r="P6" s="241" t="s">
        <v>30</v>
      </c>
      <c r="Q6" s="262"/>
      <c r="R6" s="41"/>
      <c r="S6" s="41"/>
      <c r="T6" s="41"/>
      <c r="U6" s="41"/>
      <c r="V6" s="41"/>
      <c r="W6" s="41"/>
      <c r="X6" s="41"/>
      <c r="Y6" s="41"/>
    </row>
    <row r="7" spans="1:25" ht="43.5">
      <c r="A7" s="372"/>
      <c r="B7" s="355"/>
      <c r="C7" s="356"/>
      <c r="D7" s="357"/>
      <c r="E7" s="351"/>
      <c r="F7" s="350"/>
      <c r="G7" s="45" t="s">
        <v>31</v>
      </c>
      <c r="H7" s="43">
        <f>'[1]13a. Annex M1 CEDPLA - Riego'!K271+'[1]13b. Annex CEDPLA - Reservorio'!K274+'[1]16a. Annex M4 FRUAGR - Riego  '!K323+'[1]16b. Annex M4 FRUAGR - Reservor'!K320+'[1]16c. Annex M4 FRUAGR - Invierno'!K320</f>
        <v>59097.168000000005</v>
      </c>
      <c r="I7" s="43">
        <f>'[1]13a. Annex M1 CEDPLA - Riego'!L271+'[1]13b. Annex CEDPLA - Reservorio'!L274+'[1]16a. Annex M4 FRUAGR - Riego  '!L323+'[1]16b. Annex M4 FRUAGR - Reservor'!L320+'[1]16c. Annex M4 FRUAGR - Invierno'!L320</f>
        <v>175927.75200000001</v>
      </c>
      <c r="J7" s="43">
        <f>'[1]13a. Annex M1 CEDPLA - Riego'!M271+'[1]13b. Annex CEDPLA - Reservorio'!M274+'[1]16a. Annex M4 FRUAGR - Riego  '!M323+'[1]16b. Annex M4 FRUAGR - Reservor'!M320+'[1]16c. Annex M4 FRUAGR - Invierno'!M320</f>
        <v>351153.03600000002</v>
      </c>
      <c r="K7" s="43">
        <f>'[1]13a. Annex M1 CEDPLA - Riego'!N271+'[1]13b. Annex CEDPLA - Reservorio'!N274+'[1]16a. Annex M4 FRUAGR - Riego  '!N323+'[1]16b. Annex M4 FRUAGR - Reservor'!N320+'[1]16c. Annex M4 FRUAGR - Invierno'!N320</f>
        <v>467276.00400000002</v>
      </c>
      <c r="L7" s="43">
        <f>'[1]13a. Annex M1 CEDPLA - Riego'!O271+'[1]13b. Annex CEDPLA - Reservorio'!O274+'[1]16a. Annex M4 FRUAGR - Riego  '!O323+'[1]16b. Annex M4 FRUAGR - Reservor'!O320+'[1]16c. Annex M4 FRUAGR - Invierno'!O320</f>
        <v>406852.05600000004</v>
      </c>
      <c r="M7" s="43">
        <f>'[1]13a. Annex M1 CEDPLA - Riego'!P271+'[1]13b. Annex CEDPLA - Reservorio'!P274+'[1]16a. Annex M4 FRUAGR - Riego  '!P323+'[1]16b. Annex M4 FRUAGR - Reservor'!P320+'[1]16c. Annex M4 FRUAGR - Invierno'!P320</f>
        <v>231631.91999999998</v>
      </c>
      <c r="N7" s="43">
        <f>'[1]13a. Annex M1 CEDPLA - Riego'!Q271+'[1]13b. Annex CEDPLA - Reservorio'!Q274+'[1]16a. Annex M4 FRUAGR - Riego  '!Q323+'[1]16b. Annex M4 FRUAGR - Reservor'!Q320+'[1]16c. Annex M4 FRUAGR - Invierno'!Q320</f>
        <v>57754.47600000001</v>
      </c>
      <c r="O7" s="43">
        <f t="shared" si="0"/>
        <v>1749692.412</v>
      </c>
      <c r="P7" s="326" t="s">
        <v>32</v>
      </c>
      <c r="Q7" s="261"/>
      <c r="R7" s="41"/>
      <c r="S7" s="41"/>
      <c r="T7" s="41"/>
      <c r="U7" s="41"/>
      <c r="V7" s="41"/>
      <c r="W7" s="41"/>
      <c r="X7" s="41"/>
      <c r="Y7" s="41"/>
    </row>
    <row r="8" spans="1:25" ht="90" customHeight="1">
      <c r="A8" s="372"/>
      <c r="B8" s="355"/>
      <c r="C8" s="356"/>
      <c r="D8" s="357"/>
      <c r="E8" s="351"/>
      <c r="F8" s="350"/>
      <c r="G8" s="42" t="s">
        <v>33</v>
      </c>
      <c r="H8" s="43">
        <f>'[1]2.Detailed budget notes'!G83</f>
        <v>117000</v>
      </c>
      <c r="I8" s="43"/>
      <c r="J8" s="43"/>
      <c r="K8" s="43"/>
      <c r="L8" s="43"/>
      <c r="M8" s="43"/>
      <c r="N8" s="43"/>
      <c r="O8" s="43">
        <f t="shared" si="0"/>
        <v>117000</v>
      </c>
      <c r="P8" s="326" t="s">
        <v>34</v>
      </c>
      <c r="Q8" s="261"/>
      <c r="R8" s="41"/>
      <c r="S8" s="41"/>
      <c r="T8" s="41"/>
      <c r="U8" s="41"/>
      <c r="V8" s="41"/>
      <c r="W8" s="41"/>
      <c r="X8" s="41"/>
      <c r="Y8" s="41"/>
    </row>
    <row r="9" spans="1:25" ht="29.1">
      <c r="A9" s="372"/>
      <c r="B9" s="355"/>
      <c r="C9" s="356"/>
      <c r="D9" s="357"/>
      <c r="E9" s="351"/>
      <c r="F9" s="350"/>
      <c r="G9" s="42" t="s">
        <v>35</v>
      </c>
      <c r="H9" s="43">
        <f>'[1]2.Detailed budget notes'!G102</f>
        <v>2221747.58</v>
      </c>
      <c r="I9" s="43"/>
      <c r="J9" s="43"/>
      <c r="K9" s="43"/>
      <c r="L9" s="43"/>
      <c r="M9" s="43"/>
      <c r="N9" s="43"/>
      <c r="O9" s="43">
        <f t="shared" si="0"/>
        <v>2221747.58</v>
      </c>
      <c r="P9" s="326" t="s">
        <v>36</v>
      </c>
      <c r="Q9" s="261"/>
      <c r="R9" s="41"/>
      <c r="S9" s="41"/>
      <c r="T9" s="41"/>
      <c r="U9" s="41"/>
      <c r="V9" s="41"/>
      <c r="W9" s="41"/>
      <c r="X9" s="41"/>
      <c r="Y9" s="41"/>
    </row>
    <row r="10" spans="1:25" ht="57.95">
      <c r="A10" s="372"/>
      <c r="B10" s="355"/>
      <c r="C10" s="356"/>
      <c r="D10" s="357"/>
      <c r="E10" s="351"/>
      <c r="F10" s="350"/>
      <c r="G10" s="43" t="s">
        <v>37</v>
      </c>
      <c r="H10" s="43">
        <f>'[1]2.Detailed budget notes'!F100</f>
        <v>6000</v>
      </c>
      <c r="I10" s="43"/>
      <c r="J10" s="43"/>
      <c r="K10" s="43"/>
      <c r="L10" s="43"/>
      <c r="M10" s="43"/>
      <c r="N10" s="43"/>
      <c r="O10" s="43">
        <f t="shared" ref="O10" si="2">SUM(H10:N10)</f>
        <v>6000</v>
      </c>
      <c r="P10" s="326" t="s">
        <v>38</v>
      </c>
      <c r="Q10" s="261"/>
      <c r="R10" s="41"/>
      <c r="S10" s="41"/>
      <c r="T10" s="41"/>
      <c r="U10" s="41"/>
      <c r="V10" s="41"/>
      <c r="W10" s="41"/>
      <c r="X10" s="41"/>
      <c r="Y10" s="41"/>
    </row>
    <row r="11" spans="1:25" ht="43.5">
      <c r="A11" s="372"/>
      <c r="B11" s="355"/>
      <c r="C11" s="356"/>
      <c r="D11" s="357" t="s">
        <v>39</v>
      </c>
      <c r="E11" s="351" t="s">
        <v>21</v>
      </c>
      <c r="F11" s="350" t="s">
        <v>40</v>
      </c>
      <c r="G11" s="39" t="s">
        <v>41</v>
      </c>
      <c r="H11" s="43">
        <v>10500</v>
      </c>
      <c r="I11" s="43">
        <v>4500</v>
      </c>
      <c r="J11" s="43">
        <v>4500</v>
      </c>
      <c r="K11" s="43"/>
      <c r="L11" s="43"/>
      <c r="M11" s="43"/>
      <c r="N11" s="43"/>
      <c r="O11" s="43">
        <f>SUM(H11:N11)</f>
        <v>19500</v>
      </c>
      <c r="P11" s="326" t="s">
        <v>42</v>
      </c>
      <c r="Q11" s="261"/>
      <c r="R11" s="41"/>
      <c r="S11" s="41"/>
      <c r="T11" s="41"/>
      <c r="U11" s="41"/>
      <c r="V11" s="41"/>
      <c r="W11" s="41"/>
      <c r="X11" s="41"/>
      <c r="Y11" s="41"/>
    </row>
    <row r="12" spans="1:25" ht="43.5">
      <c r="A12" s="372"/>
      <c r="B12" s="355"/>
      <c r="C12" s="356"/>
      <c r="D12" s="357"/>
      <c r="E12" s="351"/>
      <c r="F12" s="350"/>
      <c r="G12" s="39" t="s">
        <v>43</v>
      </c>
      <c r="H12" s="43">
        <v>2000</v>
      </c>
      <c r="I12" s="43"/>
      <c r="J12" s="43"/>
      <c r="K12" s="43"/>
      <c r="L12" s="43"/>
      <c r="M12" s="43"/>
      <c r="N12" s="43"/>
      <c r="O12" s="43">
        <f t="shared" ref="O12:O50" si="3">SUM(H12:N12)</f>
        <v>2000</v>
      </c>
      <c r="P12" s="14" t="s">
        <v>44</v>
      </c>
      <c r="Q12" s="263"/>
      <c r="R12" s="41"/>
      <c r="S12" s="41"/>
      <c r="T12" s="41"/>
      <c r="U12" s="41"/>
      <c r="V12" s="41"/>
      <c r="W12" s="41"/>
      <c r="X12" s="41"/>
      <c r="Y12" s="41"/>
    </row>
    <row r="13" spans="1:25" ht="68.45" customHeight="1">
      <c r="A13" s="372"/>
      <c r="B13" s="355"/>
      <c r="C13" s="356"/>
      <c r="D13" s="322" t="s">
        <v>45</v>
      </c>
      <c r="E13" s="321" t="s">
        <v>21</v>
      </c>
      <c r="F13" s="320" t="s">
        <v>46</v>
      </c>
      <c r="G13" s="42" t="s">
        <v>47</v>
      </c>
      <c r="H13" s="43">
        <v>7000</v>
      </c>
      <c r="I13" s="43">
        <v>7000</v>
      </c>
      <c r="J13" s="43"/>
      <c r="K13" s="43"/>
      <c r="L13" s="43"/>
      <c r="M13" s="43"/>
      <c r="N13" s="43"/>
      <c r="O13" s="43">
        <f t="shared" si="3"/>
        <v>14000</v>
      </c>
      <c r="P13" s="326" t="s">
        <v>48</v>
      </c>
      <c r="Q13" s="261"/>
      <c r="R13" s="41"/>
      <c r="S13" s="41"/>
      <c r="T13" s="41"/>
      <c r="U13" s="41"/>
      <c r="V13" s="41"/>
      <c r="W13" s="41"/>
      <c r="X13" s="41"/>
      <c r="Y13" s="41"/>
    </row>
    <row r="14" spans="1:25" ht="72.599999999999994">
      <c r="A14" s="372"/>
      <c r="B14" s="355"/>
      <c r="C14" s="356"/>
      <c r="D14" s="322" t="s">
        <v>49</v>
      </c>
      <c r="E14" s="321" t="s">
        <v>50</v>
      </c>
      <c r="F14" s="320" t="s">
        <v>51</v>
      </c>
      <c r="G14" s="42" t="s">
        <v>52</v>
      </c>
      <c r="H14" s="43">
        <f>'[1]Presupuesto Cofinanc. (CUP)'!B54*70%*15544/(15554+20189)</f>
        <v>2648391.7124494305</v>
      </c>
      <c r="I14" s="43">
        <f>'[1]Presupuesto Cofinanc. (CUP)'!C54*70%*15544/(15554+20189)</f>
        <v>2648391.7124494305</v>
      </c>
      <c r="J14" s="43">
        <f>'[1]Presupuesto Cofinanc. (CUP)'!D54*70%*15544/(15554+20189)</f>
        <v>2648391.7124494305</v>
      </c>
      <c r="K14" s="43">
        <f>'[1]Presupuesto Cofinanc. (CUP)'!E54*70%*15544/(15554+20189)</f>
        <v>2648391.7124494305</v>
      </c>
      <c r="L14" s="43">
        <f>'[1]Presupuesto Cofinanc. (CUP)'!F54*70%*15544/(15554+20189)</f>
        <v>2648391.7124494305</v>
      </c>
      <c r="M14" s="43">
        <f>'[1]Presupuesto Cofinanc. (CUP)'!G54*70%*15544/(15554+20189)</f>
        <v>2648391.7124494305</v>
      </c>
      <c r="N14" s="43">
        <f>'[1]Presupuesto Cofinanc. (CUP)'!H54*70%*15544/(15554+20189)</f>
        <v>2648391.7124494305</v>
      </c>
      <c r="O14" s="43">
        <f>SUM(H14:N14)</f>
        <v>18538741.987146016</v>
      </c>
      <c r="P14" s="14" t="s">
        <v>53</v>
      </c>
      <c r="Q14" s="263"/>
      <c r="R14" s="41"/>
      <c r="S14" s="41"/>
      <c r="T14" s="41"/>
      <c r="U14" s="41"/>
      <c r="V14" s="41"/>
      <c r="W14" s="41"/>
      <c r="X14" s="41"/>
      <c r="Y14" s="41"/>
    </row>
    <row r="15" spans="1:25" ht="51.6" customHeight="1">
      <c r="A15" s="372"/>
      <c r="B15" s="355"/>
      <c r="C15" s="356"/>
      <c r="D15" s="327" t="s">
        <v>54</v>
      </c>
      <c r="E15" s="42" t="s">
        <v>21</v>
      </c>
      <c r="F15" s="50" t="s">
        <v>22</v>
      </c>
      <c r="G15" s="44" t="s">
        <v>55</v>
      </c>
      <c r="H15" s="43">
        <f>SUM('[1]13a. Annex M1 CEDPLA - Riego'!K277:K278)+SUM('[1]13b. Annex CEDPLA - Reservorio'!K280:K282)+SUM('[1]16a. Annex M4 FRUAGR - Riego  '!K331:K332)+SUM('[1]16b. Annex M4 FRUAGR - Reservor'!K327:K329)</f>
        <v>901770.78999999992</v>
      </c>
      <c r="I15" s="43">
        <f>SUM('[1]13a. Annex M1 CEDPLA - Riego'!L277:L278)+SUM('[1]13b. Annex CEDPLA - Reservorio'!L280:L282)+SUM('[1]16a. Annex M4 FRUAGR - Riego  '!L331:L332)+SUM('[1]16b. Annex M4 FRUAGR - Reservor'!L327:L329)</f>
        <v>1768497.5199999998</v>
      </c>
      <c r="J15" s="43">
        <f>SUM('[1]13a. Annex M1 CEDPLA - Riego'!M277:M278)+SUM('[1]13b. Annex CEDPLA - Reservorio'!M280:M282)+SUM('[1]16a. Annex M4 FRUAGR - Riego  '!M331:M332)+SUM('[1]16b. Annex M4 FRUAGR - Reservor'!M327:M329)</f>
        <v>2657669.25</v>
      </c>
      <c r="K15" s="43">
        <f>SUM('[1]13a. Annex M1 CEDPLA - Riego'!N277:N278)+SUM('[1]13b. Annex CEDPLA - Reservorio'!N280:N282)+SUM('[1]16a. Annex M4 FRUAGR - Riego  '!N331:N332)+SUM('[1]16b. Annex M4 FRUAGR - Reservor'!N327:N329)</f>
        <v>2657669.25</v>
      </c>
      <c r="L15" s="43">
        <f>SUM('[1]13a. Annex M1 CEDPLA - Riego'!O277:O278)+SUM('[1]13b. Annex CEDPLA - Reservorio'!O280:O282)+SUM('[1]16a. Annex M4 FRUAGR - Riego  '!O331:O332)+SUM('[1]16b. Annex M4 FRUAGR - Reservor'!O327:O329)</f>
        <v>901770.78999999992</v>
      </c>
      <c r="M15" s="43">
        <f>SUM('[1]13a. Annex M1 CEDPLA - Riego'!P277:P278)+SUM('[1]13b. Annex CEDPLA - Reservorio'!P280:P282)+SUM('[1]16a. Annex M4 FRUAGR - Riego  '!P331:P332)+SUM('[1]16b. Annex M4 FRUAGR - Reservor'!P327:P329)</f>
        <v>0</v>
      </c>
      <c r="N15" s="43">
        <f>SUM('[1]13a. Annex M1 CEDPLA - Riego'!Q277:Q278)+SUM('[1]13b. Annex CEDPLA - Reservorio'!Q280:Q282)+SUM('[1]16a. Annex M4 FRUAGR - Riego  '!Q331:Q332)+SUM('[1]16b. Annex M4 FRUAGR - Reservor'!Q327:Q329)</f>
        <v>0</v>
      </c>
      <c r="O15" s="43">
        <f t="shared" si="3"/>
        <v>8887377.5999999996</v>
      </c>
      <c r="P15" s="14" t="s">
        <v>56</v>
      </c>
      <c r="Q15" s="263"/>
      <c r="R15" s="41"/>
      <c r="S15" s="41"/>
      <c r="T15" s="41"/>
      <c r="U15" s="41"/>
      <c r="V15" s="41"/>
      <c r="W15" s="41"/>
      <c r="X15" s="41"/>
      <c r="Y15" s="41"/>
    </row>
    <row r="16" spans="1:25" ht="78.599999999999994" customHeight="1">
      <c r="A16" s="372"/>
      <c r="B16" s="355"/>
      <c r="C16" s="356"/>
      <c r="D16" s="357" t="s">
        <v>57</v>
      </c>
      <c r="E16" s="351" t="s">
        <v>50</v>
      </c>
      <c r="F16" s="50" t="s">
        <v>22</v>
      </c>
      <c r="G16" s="45" t="s">
        <v>29</v>
      </c>
      <c r="H16" s="43">
        <f>'[1]Presupuesto Cofinanc. (CUP)'!B52*19388829/34032056+'[1]13a. Annex M1 CEDPLA - Riego'!K270+'[1]13b. Annex CEDPLA - Reservorio'!K273+'[1]16a. Annex M4 FRUAGR - Riego  '!K322+'[1]16b. Annex M4 FRUAGR - Reservor'!K319+'[1]16c. Annex M4 FRUAGR - Invierno'!K319+'[1]13a. Annex M1 CEDPLA - Riego'!K272+'[1]13b. Annex CEDPLA - Reservorio'!K275+'[1]15. Annex M3 MARFOM'!K255+'[1]16a. Annex M4 FRUAGR - Riego  '!K324+'[1]16a. Annex M4 FRUAGR - Riego  '!K325+'[1]16b. Annex M4 FRUAGR - Reservor'!K321+'[1]16b. Annex M4 FRUAGR - Reservor'!K322+'[1]16c. Annex M4 FRUAGR - Invierno'!K321+'[1]16c. Annex M4 FRUAGR - Invierno'!K322</f>
        <v>612960.22134162695</v>
      </c>
      <c r="I16" s="43">
        <f>19388829/34032056*'[1]Presupuesto Cofinanc. (CUP)'!C52+'[1]13a. Annex M1 CEDPLA - Riego'!L270+'[1]13b. Annex CEDPLA - Reservorio'!L273+'[1]16a. Annex M4 FRUAGR - Riego  '!L322+'[1]16b. Annex M4 FRUAGR - Reservor'!L319+'[1]16c. Annex M4 FRUAGR - Invierno'!L319+'[1]13a. Annex M1 CEDPLA - Riego'!L272+'[1]13b. Annex CEDPLA - Reservorio'!L275+'[1]15. Annex M3 MARFOM'!L255+'[1]16a. Annex M4 FRUAGR - Riego  '!L324+'[1]16a. Annex M4 FRUAGR - Riego  '!L325+'[1]16b. Annex M4 FRUAGR - Reservor'!L321+'[1]16b. Annex M4 FRUAGR - Reservor'!L322+'[1]16c. Annex M4 FRUAGR - Invierno'!L321+'[1]16c. Annex M4 FRUAGR - Invierno'!L322</f>
        <v>769395.25236958324</v>
      </c>
      <c r="J16" s="43">
        <f>19388829/34032056*'[1]Presupuesto Cofinanc. (CUP)'!D52+'[1]13a. Annex M1 CEDPLA - Riego'!M270+'[1]13b. Annex CEDPLA - Reservorio'!M273+'[1]16a. Annex M4 FRUAGR - Riego  '!M322+'[1]16b. Annex M4 FRUAGR - Reservor'!M319+'[1]16c. Annex M4 FRUAGR - Invierno'!M319+'[1]13a. Annex M1 CEDPLA - Riego'!M272+'[1]13b. Annex CEDPLA - Reservorio'!M275+'[1]15. Annex M3 MARFOM'!M255+'[1]16a. Annex M4 FRUAGR - Riego  '!M324+'[1]16a. Annex M4 FRUAGR - Riego  '!M325+'[1]16b. Annex M4 FRUAGR - Reservor'!M321+'[1]16b. Annex M4 FRUAGR - Reservor'!M322+'[1]16c. Annex M4 FRUAGR - Invierno'!M321+'[1]16c. Annex M4 FRUAGR - Invierno'!M322</f>
        <v>1161508.8523695832</v>
      </c>
      <c r="K16" s="43">
        <f>19388829/34032056*'[1]Presupuesto Cofinanc. (CUP)'!E52+'[1]13a. Annex M1 CEDPLA - Riego'!N270+'[1]13b. Annex CEDPLA - Reservorio'!N273+'[1]16a. Annex M4 FRUAGR - Riego  '!N322+'[1]16b. Annex M4 FRUAGR - Reservor'!N319+'[1]16c. Annex M4 FRUAGR - Invierno'!N319+'[1]13a. Annex M1 CEDPLA - Riego'!N272+'[1]13b. Annex CEDPLA - Reservorio'!N275+'[1]15. Annex M3 MARFOM'!N255+'[1]16a. Annex M4 FRUAGR - Riego  '!N324+'[1]16a. Annex M4 FRUAGR - Riego  '!N325+'[1]16b. Annex M4 FRUAGR - Reservor'!N321+'[1]16b. Annex M4 FRUAGR - Reservor'!N322+'[1]16c. Annex M4 FRUAGR - Invierno'!N321+'[1]16c. Annex M4 FRUAGR - Invierno'!N322</f>
        <v>1308698.8523695832</v>
      </c>
      <c r="L16" s="43">
        <f>19388829/34032056*'[1]Presupuesto Cofinanc. (CUP)'!F52+'[1]13a. Annex M1 CEDPLA - Riego'!O270+'[1]13b. Annex CEDPLA - Reservorio'!O273+'[1]16a. Annex M4 FRUAGR - Riego  '!O322+'[1]16b. Annex M4 FRUAGR - Reservor'!O319+'[1]16c. Annex M4 FRUAGR - Invierno'!O319+'[1]13a. Annex M1 CEDPLA - Riego'!O272+'[1]13b. Annex CEDPLA - Reservorio'!O275+'[1]15. Annex M3 MARFOM'!O255+'[1]16a. Annex M4 FRUAGR - Riego  '!O324+'[1]16a. Annex M4 FRUAGR - Riego  '!O325+'[1]16b. Annex M4 FRUAGR - Reservor'!O321+'[1]16b. Annex M4 FRUAGR - Reservor'!O322+'[1]16c. Annex M4 FRUAGR - Invierno'!O321+'[1]16c. Annex M4 FRUAGR - Invierno'!O322</f>
        <v>868194.85236958321</v>
      </c>
      <c r="M16" s="43">
        <f>19388829/34032056*'[1]Presupuesto Cofinanc. (CUP)'!G52+'[1]13a. Annex M1 CEDPLA - Riego'!P270+'[1]13b. Annex CEDPLA - Reservorio'!P273+'[1]16a. Annex M4 FRUAGR - Riego  '!P322+'[1]16b. Annex M4 FRUAGR - Reservor'!P319+'[1]16c. Annex M4 FRUAGR - Invierno'!P319+'[1]13a. Annex M1 CEDPLA - Riego'!P272+'[1]13b. Annex CEDPLA - Reservorio'!P275+'[1]15. Annex M3 MARFOM'!P255+'[1]16a. Annex M4 FRUAGR - Riego  '!P324+'[1]16a. Annex M4 FRUAGR - Riego  '!P325+'[1]16b. Annex M4 FRUAGR - Reservor'!P321+'[1]16b. Annex M4 FRUAGR - Reservor'!P322+'[1]16c. Annex M4 FRUAGR - Invierno'!P321+'[1]16c. Annex M4 FRUAGR - Invierno'!P322</f>
        <v>623579.25236958324</v>
      </c>
      <c r="N16" s="43">
        <f>19388829/34032056*'[1]Presupuesto Cofinanc. (CUP)'!H52+'[1]13a. Annex M1 CEDPLA - Riego'!Q270+'[1]13b. Annex CEDPLA - Reservorio'!Q273+'[1]16a. Annex M4 FRUAGR - Riego  '!Q322+'[1]16b. Annex M4 FRUAGR - Reservor'!Q319+'[1]16c. Annex M4 FRUAGR - Invierno'!Q319+'[1]13a. Annex M1 CEDPLA - Riego'!Q272+'[1]13b. Annex CEDPLA - Reservorio'!Q275+'[1]15. Annex M3 MARFOM'!Q255+'[1]16a. Annex M4 FRUAGR - Riego  '!Q324+'[1]16a. Annex M4 FRUAGR - Riego  '!Q325+'[1]16b. Annex M4 FRUAGR - Reservor'!Q321+'[1]16b. Annex M4 FRUAGR - Reservor'!Q322+'[1]16c. Annex M4 FRUAGR - Invierno'!Q321+'[1]16c. Annex M4 FRUAGR - Invierno'!Q322</f>
        <v>623579.25236958324</v>
      </c>
      <c r="O16" s="43">
        <f>SUM(H16:N16)</f>
        <v>5967916.5355591271</v>
      </c>
      <c r="P16" s="326" t="s">
        <v>58</v>
      </c>
      <c r="Q16" s="261"/>
      <c r="R16" s="41"/>
      <c r="S16" s="41"/>
      <c r="T16" s="41"/>
      <c r="U16" s="41"/>
      <c r="V16" s="41"/>
      <c r="W16" s="41"/>
      <c r="X16" s="41"/>
      <c r="Y16" s="41"/>
    </row>
    <row r="17" spans="1:25" ht="137.1" customHeight="1">
      <c r="A17" s="372"/>
      <c r="B17" s="355"/>
      <c r="C17" s="356"/>
      <c r="D17" s="357"/>
      <c r="E17" s="351"/>
      <c r="F17" s="350" t="s">
        <v>51</v>
      </c>
      <c r="G17" s="44" t="s">
        <v>59</v>
      </c>
      <c r="H17" s="43">
        <f>'[1]Presupuesto Cofinanc. (CUP)'!B54*30%*15544/(15554+20189)</f>
        <v>1135025.0196211846</v>
      </c>
      <c r="I17" s="43">
        <f>'[1]Presupuesto Cofinanc. (CUP)'!C54*30%*15544/(15554+20189)</f>
        <v>1135025.0196211846</v>
      </c>
      <c r="J17" s="43">
        <f>'[1]Presupuesto Cofinanc. (CUP)'!D54*30%*15544/(15554+20189)</f>
        <v>1135025.0196211846</v>
      </c>
      <c r="K17" s="43">
        <f>'[1]Presupuesto Cofinanc. (CUP)'!E54*30%*15544/(15554+20189)</f>
        <v>1135025.0196211846</v>
      </c>
      <c r="L17" s="43">
        <f>'[1]Presupuesto Cofinanc. (CUP)'!F54*30%*15544/(15554+20189)</f>
        <v>1135025.0196211846</v>
      </c>
      <c r="M17" s="43">
        <f>'[1]Presupuesto Cofinanc. (CUP)'!G54*30%*15544/(15554+20189)</f>
        <v>1135025.0196211846</v>
      </c>
      <c r="N17" s="43">
        <f>'[1]Presupuesto Cofinanc. (CUP)'!H54*30%*15544/(15554+20189)</f>
        <v>1135025.0196211846</v>
      </c>
      <c r="O17" s="43">
        <f>SUM(H17:N17)</f>
        <v>7945175.1373482905</v>
      </c>
      <c r="P17" s="14" t="s">
        <v>60</v>
      </c>
      <c r="Q17" s="263"/>
      <c r="R17" s="41"/>
      <c r="S17" s="41"/>
      <c r="T17" s="41"/>
      <c r="U17" s="41"/>
      <c r="V17" s="41"/>
      <c r="W17" s="41"/>
      <c r="X17" s="41"/>
      <c r="Y17" s="41"/>
    </row>
    <row r="18" spans="1:25" ht="33" customHeight="1">
      <c r="A18" s="372"/>
      <c r="B18" s="355"/>
      <c r="C18" s="356"/>
      <c r="D18" s="357"/>
      <c r="E18" s="351"/>
      <c r="F18" s="350"/>
      <c r="G18" s="42" t="s">
        <v>25</v>
      </c>
      <c r="H18" s="43">
        <f>([2]Hoja1!$BI$49/7)*(O3/(O3+O20))</f>
        <v>840704.27785262209</v>
      </c>
      <c r="I18" s="43">
        <f>H18</f>
        <v>840704.27785262209</v>
      </c>
      <c r="J18" s="43">
        <f t="shared" ref="J18:N18" si="4">I18</f>
        <v>840704.27785262209</v>
      </c>
      <c r="K18" s="43">
        <f t="shared" si="4"/>
        <v>840704.27785262209</v>
      </c>
      <c r="L18" s="43">
        <f t="shared" si="4"/>
        <v>840704.27785262209</v>
      </c>
      <c r="M18" s="43">
        <f t="shared" si="4"/>
        <v>840704.27785262209</v>
      </c>
      <c r="N18" s="43">
        <f t="shared" si="4"/>
        <v>840704.27785262209</v>
      </c>
      <c r="O18" s="43">
        <f t="shared" ref="O18" si="5">SUM(H18:N18)</f>
        <v>5884929.944968354</v>
      </c>
      <c r="P18" s="326" t="s">
        <v>61</v>
      </c>
      <c r="Q18" s="261"/>
      <c r="R18" s="41"/>
      <c r="S18" s="41"/>
      <c r="T18" s="41"/>
      <c r="U18" s="41"/>
      <c r="V18" s="41"/>
      <c r="W18" s="41"/>
      <c r="X18" s="41"/>
      <c r="Y18" s="41"/>
    </row>
    <row r="19" spans="1:25" ht="29.1">
      <c r="A19" s="372"/>
      <c r="B19" s="355"/>
      <c r="C19" s="356"/>
      <c r="D19" s="357"/>
      <c r="E19" s="351"/>
      <c r="F19" s="350"/>
      <c r="G19" s="39" t="s">
        <v>62</v>
      </c>
      <c r="H19" s="43">
        <f>'[1]2.Detailed budget notes'!B129*'[1]2.Detailed budget notes'!F129*12</f>
        <v>72000</v>
      </c>
      <c r="I19" s="43">
        <f t="shared" ref="I19:N19" si="6">H19</f>
        <v>72000</v>
      </c>
      <c r="J19" s="43">
        <f t="shared" si="6"/>
        <v>72000</v>
      </c>
      <c r="K19" s="43">
        <f t="shared" si="6"/>
        <v>72000</v>
      </c>
      <c r="L19" s="43">
        <f t="shared" si="6"/>
        <v>72000</v>
      </c>
      <c r="M19" s="43">
        <f t="shared" si="6"/>
        <v>72000</v>
      </c>
      <c r="N19" s="43">
        <f t="shared" si="6"/>
        <v>72000</v>
      </c>
      <c r="O19" s="43">
        <f t="shared" si="3"/>
        <v>504000</v>
      </c>
      <c r="P19" s="14" t="s">
        <v>63</v>
      </c>
      <c r="Q19" s="268"/>
      <c r="R19" s="41"/>
      <c r="S19" s="41"/>
      <c r="T19" s="41"/>
      <c r="U19" s="41"/>
      <c r="V19" s="41"/>
      <c r="W19" s="41"/>
      <c r="X19" s="41"/>
      <c r="Y19" s="41"/>
    </row>
    <row r="20" spans="1:25" ht="29.1">
      <c r="A20" s="372"/>
      <c r="B20" s="355"/>
      <c r="C20" s="358" t="s">
        <v>64</v>
      </c>
      <c r="D20" s="357" t="s">
        <v>65</v>
      </c>
      <c r="E20" s="351" t="s">
        <v>21</v>
      </c>
      <c r="F20" s="353" t="s">
        <v>22</v>
      </c>
      <c r="G20" s="40" t="s">
        <v>66</v>
      </c>
      <c r="H20" s="43">
        <f>'[1]2.Detailed budget notes'!G136*40%</f>
        <v>667468.70000000007</v>
      </c>
      <c r="I20" s="43">
        <f>'[1]2.Detailed budget notes'!G136*40%</f>
        <v>667468.70000000007</v>
      </c>
      <c r="J20" s="43">
        <f>'[1]2.Detailed budget notes'!G136*20%</f>
        <v>333734.35000000003</v>
      </c>
      <c r="K20" s="43"/>
      <c r="L20" s="43"/>
      <c r="M20" s="43"/>
      <c r="N20" s="43"/>
      <c r="O20" s="43">
        <f t="shared" ref="O20:O27" si="7">SUM(H20:N20)</f>
        <v>1668671.7500000002</v>
      </c>
      <c r="P20" s="326" t="s">
        <v>67</v>
      </c>
      <c r="Q20" s="261"/>
      <c r="R20" s="41"/>
      <c r="S20" s="41"/>
      <c r="T20" s="41"/>
      <c r="U20" s="41"/>
      <c r="V20" s="41"/>
      <c r="W20" s="41"/>
      <c r="X20" s="41"/>
      <c r="Y20" s="41"/>
    </row>
    <row r="21" spans="1:25" ht="29.1">
      <c r="A21" s="372"/>
      <c r="B21" s="355"/>
      <c r="C21" s="358"/>
      <c r="D21" s="357"/>
      <c r="E21" s="351"/>
      <c r="F21" s="353"/>
      <c r="G21" s="50" t="s">
        <v>68</v>
      </c>
      <c r="H21" s="317">
        <f>(([2]Hoja1!$G$15+[2]Hoja1!$G$33+[2]Hoja1!$G$47)/7)*(O20/(O3+O20))</f>
        <v>38454.74086445634</v>
      </c>
      <c r="I21" s="317">
        <f t="shared" ref="I21:N21" si="8">H21</f>
        <v>38454.74086445634</v>
      </c>
      <c r="J21" s="317">
        <f t="shared" si="8"/>
        <v>38454.74086445634</v>
      </c>
      <c r="K21" s="317">
        <f t="shared" si="8"/>
        <v>38454.74086445634</v>
      </c>
      <c r="L21" s="317">
        <f t="shared" si="8"/>
        <v>38454.74086445634</v>
      </c>
      <c r="M21" s="317">
        <f t="shared" si="8"/>
        <v>38454.74086445634</v>
      </c>
      <c r="N21" s="317">
        <f t="shared" si="8"/>
        <v>38454.74086445634</v>
      </c>
      <c r="O21" s="317">
        <f t="shared" si="7"/>
        <v>269183.18605119438</v>
      </c>
      <c r="P21" s="318" t="s">
        <v>69</v>
      </c>
      <c r="Q21" s="261"/>
      <c r="R21" s="41"/>
      <c r="S21" s="41"/>
      <c r="T21" s="41"/>
      <c r="U21" s="41"/>
      <c r="V21" s="41"/>
      <c r="W21" s="41"/>
      <c r="X21" s="41"/>
      <c r="Y21" s="41"/>
    </row>
    <row r="22" spans="1:25" ht="43.5">
      <c r="A22" s="372"/>
      <c r="B22" s="355"/>
      <c r="C22" s="358"/>
      <c r="D22" s="357"/>
      <c r="E22" s="351"/>
      <c r="F22" s="353"/>
      <c r="G22" s="44" t="s">
        <v>70</v>
      </c>
      <c r="H22" s="43">
        <f>'[1]2.Detailed budget notes'!G203*10%+SUM('[1]17a. Annex M 5 SILLEC - Bebeder'!K352:K360)+SUM('[1]17b. Annex M5 - Reservorio'!K352:K360)+SUM('[1]17c. Annex M5 SILLEC - Manejo'!K352:K360)+SUM('[1]18a. Annex M6 SILSOM - Bebedero'!K292:K301)+SUM('[1]18b. Annex M6 - Reservorio'!K292:K301)+SUM('[1]18c. Annex M6 SILSOM - Manejo'!K292:K301)-'[1]18a. Annex M6 SILSOM - Bebedero'!K295-'[1]18b. Annex M6 - Reservorio'!K295-'[1]18c. Annex M6 SILSOM - Manejo'!K295</f>
        <v>278138.30190000002</v>
      </c>
      <c r="I22" s="43">
        <f>'[1]2.Detailed budget notes'!G203*20%+SUM('[1]17a. Annex M 5 SILLEC - Bebeder'!L352:L360)+SUM('[1]17b. Annex M5 - Reservorio'!L352:L360)+SUM('[1]17c. Annex M5 SILLEC - Manejo'!L352:L360)+SUM('[1]18a. Annex M6 SILSOM - Bebedero'!L292:L301)+SUM('[1]18b. Annex M6 - Reservorio'!L292:L301)+SUM('[1]18c. Annex M6 SILSOM - Manejo'!L292:L301)-'[1]18a. Annex M6 SILSOM - Bebedero'!L295-'[1]18b. Annex M6 - Reservorio'!L295-'[1]18c. Annex M6 SILSOM - Manejo'!L295</f>
        <v>640276.60379999992</v>
      </c>
      <c r="J22" s="43">
        <f>'[1]2.Detailed budget notes'!G203*30%+SUM('[1]17a. Annex M 5 SILLEC - Bebeder'!M352:M360)+SUM('[1]17b. Annex M5 - Reservorio'!M352:M360)+SUM('[1]17c. Annex M5 SILLEC - Manejo'!M352:M360)+SUM('[1]18a. Annex M6 SILSOM - Bebedero'!M292:M301)+SUM('[1]18b. Annex M6 - Reservorio'!M292:M301)+SUM('[1]18c. Annex M6 SILSOM - Manejo'!M292:M301)-'[1]18a. Annex M6 SILSOM - Bebedero'!M295-'[1]18b. Annex M6 - Reservorio'!M295-'[1]18c. Annex M6 SILSOM - Manejo'!M295</f>
        <v>1086414.9057</v>
      </c>
      <c r="K22" s="43">
        <f>'[1]2.Detailed budget notes'!G203*20%+SUM('[1]17a. Annex M 5 SILLEC - Bebeder'!N352:N360)+SUM('[1]17b. Annex M5 - Reservorio'!N352:N360)+SUM('[1]17c. Annex M5 SILLEC - Manejo'!N352:N360)+SUM('[1]18a. Annex M6 SILSOM - Bebedero'!N292:N301)+SUM('[1]18b. Annex M6 - Reservorio'!N292:N301)+SUM('[1]18c. Annex M6 SILSOM - Manejo'!N292:N301)-'[1]18a. Annex M6 SILSOM - Bebedero'!N295-'[1]18b. Annex M6 - Reservorio'!N295-'[1]18c. Annex M6 SILSOM - Manejo'!N295</f>
        <v>1221716.6037999997</v>
      </c>
      <c r="L22" s="43">
        <f>'[1]2.Detailed budget notes'!G203*10%+SUM('[1]17a. Annex M 5 SILLEC - Bebeder'!O352:O360)+SUM('[1]17b. Annex M5 - Reservorio'!O352:O360)+SUM('[1]17c. Annex M5 SILLEC - Manejo'!O352:O360)+SUM('[1]18a. Annex M6 SILSOM - Bebedero'!O292:O301)+SUM('[1]18b. Annex M6 - Reservorio'!O292:O301)+SUM('[1]18c. Annex M6 SILSOM - Manejo'!O292:O301)-'[1]18a. Annex M6 SILSOM - Bebedero'!O295-'[1]18b. Annex M6 - Reservorio'!O295-'[1]18c. Annex M6 SILSOM - Manejo'!O295</f>
        <v>1033898.3018999998</v>
      </c>
      <c r="M22" s="43">
        <f>'[1]2.Detailed budget notes'!G203*5%+SUM('[1]17a. Annex M 5 SILLEC - Bebeder'!P352:P360)+SUM('[1]17b. Annex M5 - Reservorio'!P352:P360)+SUM('[1]17c. Annex M5 SILLEC - Manejo'!P352:P360)+SUM('[1]18a. Annex M6 SILSOM - Bebedero'!P292:P301)+SUM('[1]18b. Annex M6 - Reservorio'!P292:P301)+SUM('[1]18c. Annex M6 SILSOM - Manejo'!P292:P301)-'[1]18a. Annex M6 SILSOM - Bebedero'!P295-'[1]18b. Annex M6 - Reservorio'!P295-'[1]18c. Annex M6 SILSOM - Manejo'!P295</f>
        <v>898149.15095000004</v>
      </c>
      <c r="N22" s="43">
        <f>'[1]2.Detailed budget notes'!G203*5%+SUM('[1]17a. Annex M 5 SILLEC - Bebeder'!Q352:Q360)+SUM('[1]17b. Annex M5 - Reservorio'!Q352:Q360)+SUM('[1]17c. Annex M5 SILLEC - Manejo'!Q352:Q360)+SUM('[1]18a. Annex M6 SILSOM - Bebedero'!Q292:Q301)+SUM('[1]18b. Annex M6 - Reservorio'!Q292:Q301)+SUM('[1]18c. Annex M6 SILSOM - Manejo'!Q292:Q301)-'[1]18a. Annex M6 SILSOM - Bebedero'!Q295-'[1]18b. Annex M6 - Reservorio'!Q295-'[1]18c. Annex M6 SILSOM - Manejo'!Q295</f>
        <v>898149.15095000004</v>
      </c>
      <c r="O22" s="43">
        <f t="shared" si="7"/>
        <v>6056743.0189999994</v>
      </c>
      <c r="P22" s="326" t="s">
        <v>71</v>
      </c>
      <c r="Q22" s="261"/>
      <c r="R22" s="41"/>
      <c r="S22" s="41"/>
      <c r="T22" s="41"/>
      <c r="U22" s="41"/>
      <c r="V22" s="41"/>
      <c r="W22" s="41"/>
      <c r="X22" s="41"/>
      <c r="Y22" s="41"/>
    </row>
    <row r="23" spans="1:25">
      <c r="A23" s="372"/>
      <c r="B23" s="355"/>
      <c r="C23" s="358"/>
      <c r="D23" s="357"/>
      <c r="E23" s="351"/>
      <c r="F23" s="353"/>
      <c r="G23" s="43" t="s">
        <v>72</v>
      </c>
      <c r="H23" s="43">
        <f>'[1]17a. Annex M 5 SILLEC - Bebeder'!K365+'[1]17b. Annex M5 - Reservorio'!K365+'[1]17c. Annex M5 SILLEC - Manejo'!K365+'[1]18a. Annex M6 SILSOM - Bebedero'!K305+'[1]18b. Annex M6 - Reservorio'!K306+'[1]18c. Annex M6 SILSOM - Manejo'!K306</f>
        <v>222420</v>
      </c>
      <c r="I23" s="43">
        <f>'[1]17a. Annex M 5 SILLEC - Bebeder'!L365+'[1]17b. Annex M5 - Reservorio'!L365+'[1]17c. Annex M5 SILLEC - Manejo'!L365+'[1]18a. Annex M6 SILSOM - Bebedero'!L305+'[1]18b. Annex M6 - Reservorio'!L306+'[1]18c. Annex M6 SILSOM - Manejo'!L306</f>
        <v>444180</v>
      </c>
      <c r="J23" s="43">
        <f>'[1]17a. Annex M 5 SILLEC - Bebeder'!M365+'[1]17b. Annex M5 - Reservorio'!M365+'[1]17c. Annex M5 SILLEC - Manejo'!M365+'[1]18a. Annex M6 SILSOM - Bebedero'!M305+'[1]18b. Annex M6 - Reservorio'!M306+'[1]18c. Annex M6 SILSOM - Manejo'!M306</f>
        <v>667920</v>
      </c>
      <c r="K23" s="43">
        <f>'[1]17a. Annex M 5 SILLEC - Bebeder'!N365+'[1]17b. Annex M5 - Reservorio'!N365+'[1]17c. Annex M5 SILLEC - Manejo'!N365+'[1]18a. Annex M6 SILSOM - Bebedero'!N305+'[1]18b. Annex M6 - Reservorio'!N306+'[1]18c. Annex M6 SILSOM - Manejo'!N306</f>
        <v>667920</v>
      </c>
      <c r="L23" s="43">
        <f>'[1]17a. Annex M 5 SILLEC - Bebeder'!O365+'[1]17b. Annex M5 - Reservorio'!O365+'[1]17c. Annex M5 SILLEC - Manejo'!O365+'[1]18a. Annex M6 SILSOM - Bebedero'!O305+'[1]18b. Annex M6 - Reservorio'!O306+'[1]18c. Annex M6 SILSOM - Manejo'!O306</f>
        <v>222420</v>
      </c>
      <c r="M23" s="43">
        <f>'[1]17a. Annex M 5 SILLEC - Bebeder'!P365+'[1]17b. Annex M5 - Reservorio'!P365+'[1]17c. Annex M5 SILLEC - Manejo'!P365+'[1]18a. Annex M6 SILSOM - Bebedero'!P305+'[1]18b. Annex M6 - Reservorio'!P306+'[1]18c. Annex M6 SILSOM - Manejo'!P306</f>
        <v>0</v>
      </c>
      <c r="N23" s="43">
        <f>'[1]17a. Annex M 5 SILLEC - Bebeder'!Q365+'[1]17b. Annex M5 - Reservorio'!Q365+'[1]17c. Annex M5 SILLEC - Manejo'!Q365+'[1]18a. Annex M6 SILSOM - Bebedero'!Q305+'[1]18b. Annex M6 - Reservorio'!Q306+'[1]18c. Annex M6 SILSOM - Manejo'!Q306</f>
        <v>0</v>
      </c>
      <c r="O23" s="43">
        <f t="shared" si="7"/>
        <v>2224860</v>
      </c>
      <c r="P23" s="326" t="s">
        <v>73</v>
      </c>
      <c r="Q23" s="261"/>
      <c r="R23" s="41"/>
      <c r="S23" s="41"/>
      <c r="T23" s="41"/>
      <c r="U23" s="41"/>
      <c r="V23" s="41"/>
      <c r="W23" s="41"/>
      <c r="X23" s="41"/>
      <c r="Y23" s="41"/>
    </row>
    <row r="24" spans="1:25" ht="43.5">
      <c r="A24" s="372"/>
      <c r="B24" s="355"/>
      <c r="C24" s="358"/>
      <c r="D24" s="357"/>
      <c r="E24" s="351"/>
      <c r="F24" s="353"/>
      <c r="G24" s="43" t="s">
        <v>74</v>
      </c>
      <c r="H24" s="43">
        <f>'[1]18a. Annex M6 SILSOM - Bebedero'!K295+'[1]18b. Annex M6 - Reservorio'!K295+'[1]18c. Annex M6 SILSOM - Manejo'!K295</f>
        <v>15872.220000000001</v>
      </c>
      <c r="I24" s="43">
        <f>'[1]18a. Annex M6 SILSOM - Bebedero'!L295+'[1]18b. Annex M6 - Reservorio'!L295+'[1]18c. Annex M6 SILSOM - Manejo'!L295</f>
        <v>31744.440000000002</v>
      </c>
      <c r="J24" s="43">
        <f>'[1]18a. Annex M6 SILSOM - Bebedero'!M295+'[1]18b. Annex M6 - Reservorio'!M295+'[1]18c. Annex M6 SILSOM - Manejo'!M295</f>
        <v>47633.040000000008</v>
      </c>
      <c r="K24" s="43">
        <f>'[1]18a. Annex M6 SILSOM - Bebedero'!N295+'[1]18b. Annex M6 - Reservorio'!N295+'[1]18c. Annex M6 SILSOM - Manejo'!N295</f>
        <v>47633.040000000008</v>
      </c>
      <c r="L24" s="43">
        <f>'[1]18a. Annex M6 SILSOM - Bebedero'!O295+'[1]18b. Annex M6 - Reservorio'!O295+'[1]18c. Annex M6 SILSOM - Manejo'!O295</f>
        <v>15855.84</v>
      </c>
      <c r="M24" s="43">
        <f>'[1]18a. Annex M6 SILSOM - Bebedero'!P295+'[1]18b. Annex M6 - Reservorio'!P295+'[1]18c. Annex M6 SILSOM - Manejo'!P295</f>
        <v>0</v>
      </c>
      <c r="N24" s="43">
        <f>'[1]18a. Annex M6 SILSOM - Bebedero'!Q295+'[1]18b. Annex M6 - Reservorio'!Q295+'[1]18c. Annex M6 SILSOM - Manejo'!Q295</f>
        <v>0</v>
      </c>
      <c r="O24" s="43">
        <f t="shared" si="7"/>
        <v>158738.58000000002</v>
      </c>
      <c r="P24" s="326" t="s">
        <v>75</v>
      </c>
      <c r="Q24" s="261"/>
      <c r="R24" s="41"/>
      <c r="S24" s="41"/>
      <c r="T24" s="41"/>
      <c r="U24" s="41"/>
      <c r="V24" s="41"/>
      <c r="W24" s="41"/>
      <c r="X24" s="41"/>
      <c r="Y24" s="41"/>
    </row>
    <row r="25" spans="1:25" ht="57.95">
      <c r="A25" s="372"/>
      <c r="B25" s="355"/>
      <c r="C25" s="358"/>
      <c r="D25" s="357"/>
      <c r="E25" s="351"/>
      <c r="F25" s="353"/>
      <c r="G25" s="43" t="s">
        <v>76</v>
      </c>
      <c r="H25" s="43"/>
      <c r="I25" s="43">
        <f>'[1]2.Detailed budget notes'!G213</f>
        <v>4500</v>
      </c>
      <c r="J25" s="43"/>
      <c r="K25" s="43"/>
      <c r="L25" s="43"/>
      <c r="M25" s="43"/>
      <c r="N25" s="43"/>
      <c r="O25" s="43">
        <f t="shared" si="7"/>
        <v>4500</v>
      </c>
      <c r="P25" s="326" t="s">
        <v>77</v>
      </c>
      <c r="Q25" s="261"/>
      <c r="R25" s="41"/>
      <c r="S25" s="41"/>
      <c r="T25" s="41"/>
      <c r="U25" s="41"/>
      <c r="V25" s="41"/>
      <c r="W25" s="41"/>
      <c r="X25" s="41"/>
      <c r="Y25" s="41"/>
    </row>
    <row r="26" spans="1:25" ht="57.95">
      <c r="A26" s="372"/>
      <c r="B26" s="355"/>
      <c r="C26" s="358"/>
      <c r="D26" s="357"/>
      <c r="E26" s="351"/>
      <c r="F26" s="353"/>
      <c r="G26" s="43" t="s">
        <v>37</v>
      </c>
      <c r="H26" s="43">
        <f>'[1]2.Detailed budget notes'!G215</f>
        <v>6000</v>
      </c>
      <c r="I26" s="43"/>
      <c r="J26" s="43"/>
      <c r="K26" s="43"/>
      <c r="L26" s="43"/>
      <c r="M26" s="43"/>
      <c r="N26" s="43"/>
      <c r="O26" s="43">
        <f t="shared" si="7"/>
        <v>6000</v>
      </c>
      <c r="P26" s="326" t="s">
        <v>78</v>
      </c>
      <c r="Q26" s="261"/>
      <c r="R26" s="41"/>
      <c r="S26" s="41"/>
      <c r="T26" s="41"/>
      <c r="U26" s="41"/>
      <c r="V26" s="41"/>
      <c r="W26" s="41"/>
      <c r="X26" s="41"/>
      <c r="Y26" s="41"/>
    </row>
    <row r="27" spans="1:25" ht="29.1">
      <c r="A27" s="372"/>
      <c r="B27" s="355"/>
      <c r="C27" s="358"/>
      <c r="D27" s="357" t="s">
        <v>79</v>
      </c>
      <c r="E27" s="351"/>
      <c r="F27" s="350" t="s">
        <v>40</v>
      </c>
      <c r="G27" s="39" t="s">
        <v>80</v>
      </c>
      <c r="H27" s="43">
        <f>'[1]2.Detailed budget notes'!G132</f>
        <v>10500</v>
      </c>
      <c r="I27" s="43">
        <f>'[1]2.Detailed budget notes'!G133</f>
        <v>4500</v>
      </c>
      <c r="J27" s="43">
        <f>'[1]2.Detailed budget notes'!G134</f>
        <v>4500</v>
      </c>
      <c r="K27" s="43"/>
      <c r="L27" s="43"/>
      <c r="M27" s="43"/>
      <c r="N27" s="43"/>
      <c r="O27" s="43">
        <f t="shared" si="7"/>
        <v>19500</v>
      </c>
      <c r="P27" s="326" t="s">
        <v>81</v>
      </c>
      <c r="Q27" s="261"/>
      <c r="R27" s="41"/>
      <c r="S27" s="41"/>
      <c r="T27" s="41"/>
      <c r="U27" s="41"/>
      <c r="V27" s="41"/>
      <c r="W27" s="41"/>
      <c r="X27" s="41"/>
      <c r="Y27" s="41"/>
    </row>
    <row r="28" spans="1:25" ht="43.5">
      <c r="A28" s="372"/>
      <c r="B28" s="355"/>
      <c r="C28" s="358"/>
      <c r="D28" s="357"/>
      <c r="E28" s="351"/>
      <c r="F28" s="350"/>
      <c r="G28" s="39" t="s">
        <v>82</v>
      </c>
      <c r="H28" s="43">
        <f>'[1]2.Detailed budget notes'!G173</f>
        <v>2000</v>
      </c>
      <c r="I28" s="43"/>
      <c r="J28" s="43"/>
      <c r="K28" s="43"/>
      <c r="L28" s="43"/>
      <c r="M28" s="43"/>
      <c r="N28" s="43"/>
      <c r="O28" s="43">
        <f t="shared" si="3"/>
        <v>2000</v>
      </c>
      <c r="P28" s="14" t="s">
        <v>83</v>
      </c>
      <c r="Q28" s="263"/>
      <c r="R28" s="41"/>
      <c r="S28" s="41"/>
      <c r="T28" s="41"/>
      <c r="U28" s="41"/>
      <c r="V28" s="41"/>
      <c r="W28" s="41"/>
      <c r="X28" s="41"/>
      <c r="Y28" s="41"/>
    </row>
    <row r="29" spans="1:25" ht="57.95">
      <c r="A29" s="372"/>
      <c r="B29" s="355"/>
      <c r="C29" s="358"/>
      <c r="D29" s="322" t="s">
        <v>84</v>
      </c>
      <c r="E29" s="351"/>
      <c r="F29" s="320" t="s">
        <v>46</v>
      </c>
      <c r="G29" s="39" t="s">
        <v>85</v>
      </c>
      <c r="H29" s="43">
        <f>'[1]2.Detailed budget notes'!G176</f>
        <v>7000</v>
      </c>
      <c r="I29" s="43">
        <f>'[1]2.Detailed budget notes'!G177</f>
        <v>7000</v>
      </c>
      <c r="J29" s="43"/>
      <c r="K29" s="43"/>
      <c r="L29" s="43"/>
      <c r="M29" s="43"/>
      <c r="N29" s="43"/>
      <c r="O29" s="43">
        <f t="shared" si="3"/>
        <v>14000</v>
      </c>
      <c r="P29" s="326" t="s">
        <v>86</v>
      </c>
      <c r="Q29" s="261"/>
      <c r="R29" s="41"/>
      <c r="S29" s="41"/>
      <c r="T29" s="41"/>
      <c r="U29" s="41"/>
      <c r="V29" s="41"/>
      <c r="W29" s="41"/>
      <c r="X29" s="41"/>
      <c r="Y29" s="41"/>
    </row>
    <row r="30" spans="1:25" ht="57.95">
      <c r="A30" s="372"/>
      <c r="B30" s="355"/>
      <c r="C30" s="358"/>
      <c r="D30" s="322" t="s">
        <v>87</v>
      </c>
      <c r="E30" s="321" t="s">
        <v>50</v>
      </c>
      <c r="F30" s="320" t="s">
        <v>51</v>
      </c>
      <c r="G30" s="44" t="s">
        <v>88</v>
      </c>
      <c r="H30" s="43">
        <f>'[1]Presupuesto Cofinanc. (CUP)'!B54*60%*20189/(15554+20189)</f>
        <v>2948407.1180046443</v>
      </c>
      <c r="I30" s="43">
        <f>'[1]Presupuesto Cofinanc. (CUP)'!C54*60%*20189/(15554+20189)</f>
        <v>2948407.1180046443</v>
      </c>
      <c r="J30" s="43">
        <f>'[1]Presupuesto Cofinanc. (CUP)'!D54*60%*20189/(15554+20189)</f>
        <v>2948407.1180046443</v>
      </c>
      <c r="K30" s="43">
        <f>'[1]Presupuesto Cofinanc. (CUP)'!E54*60%*20189/(15554+20189)</f>
        <v>2948407.1180046443</v>
      </c>
      <c r="L30" s="43">
        <f>'[1]Presupuesto Cofinanc. (CUP)'!F54*60%*20189/(15554+20189)</f>
        <v>2948407.1180046443</v>
      </c>
      <c r="M30" s="43">
        <f>'[1]Presupuesto Cofinanc. (CUP)'!G54*60%*20189/(15554+20189)</f>
        <v>2948407.1180046443</v>
      </c>
      <c r="N30" s="43">
        <f>'[1]Presupuesto Cofinanc. (CUP)'!H54*60%*20189/(15554+20189)</f>
        <v>2948407.1180046443</v>
      </c>
      <c r="O30" s="43">
        <f t="shared" si="3"/>
        <v>20638849.826032512</v>
      </c>
      <c r="P30" s="326" t="s">
        <v>89</v>
      </c>
      <c r="Q30" s="261"/>
      <c r="R30" s="41"/>
      <c r="S30" s="41"/>
      <c r="T30" s="41"/>
      <c r="U30" s="41"/>
      <c r="V30" s="41"/>
      <c r="W30" s="41"/>
      <c r="X30" s="41"/>
      <c r="Y30" s="41"/>
    </row>
    <row r="31" spans="1:25" ht="74.45" customHeight="1">
      <c r="A31" s="372"/>
      <c r="B31" s="355"/>
      <c r="C31" s="358"/>
      <c r="D31" s="322" t="s">
        <v>90</v>
      </c>
      <c r="E31" s="321" t="s">
        <v>21</v>
      </c>
      <c r="F31" s="320" t="s">
        <v>22</v>
      </c>
      <c r="G31" s="44" t="s">
        <v>91</v>
      </c>
      <c r="H31" s="43">
        <f>'[1]17a. Annex M 5 SILLEC - Bebeder'!K362+'[1]17a. Annex M 5 SILLEC - Bebeder'!K363+'[1]17b. Annex M5 - Reservorio'!K362+'[1]17b. Annex M5 - Reservorio'!K363+'[1]17b. Annex M5 - Reservorio'!K364+'[1]18a. Annex M6 SILSOM - Bebedero'!K303+'[1]18a. Annex M6 SILSOM - Bebedero'!K304+'[1]18b. Annex M6 - Reservorio'!K303+'[1]18b. Annex M6 - Reservorio'!K304+'[1]18b. Annex M6 - Reservorio'!K305</f>
        <v>372725</v>
      </c>
      <c r="I31" s="43">
        <f>'[1]17a. Annex M 5 SILLEC - Bebeder'!L362+'[1]17a. Annex M 5 SILLEC - Bebeder'!L363+'[1]17b. Annex M5 - Reservorio'!L362+'[1]17b. Annex M5 - Reservorio'!L363+'[1]17b. Annex M5 - Reservorio'!L364+'[1]18a. Annex M6 SILSOM - Bebedero'!L303+'[1]18a. Annex M6 SILSOM - Bebedero'!L304+'[1]18b. Annex M6 - Reservorio'!L303+'[1]18b. Annex M6 - Reservorio'!L304+'[1]18b. Annex M6 - Reservorio'!L305</f>
        <v>744825</v>
      </c>
      <c r="J31" s="43">
        <f>'[1]17a. Annex M 5 SILLEC - Bebeder'!M362+'[1]17a. Annex M 5 SILLEC - Bebeder'!M363+'[1]17b. Annex M5 - Reservorio'!M362+'[1]17b. Annex M5 - Reservorio'!M363+'[1]17b. Annex M5 - Reservorio'!M364+'[1]18a. Annex M6 SILSOM - Bebedero'!M303+'[1]18a. Annex M6 SILSOM - Bebedero'!M304+'[1]18b. Annex M6 - Reservorio'!M303+'[1]18b. Annex M6 - Reservorio'!M304+'[1]18b. Annex M6 - Reservorio'!M305</f>
        <v>1118325</v>
      </c>
      <c r="K31" s="43">
        <f>'[1]17a. Annex M 5 SILLEC - Bebeder'!N362+'[1]17a. Annex M 5 SILLEC - Bebeder'!N363+'[1]17b. Annex M5 - Reservorio'!N362+'[1]17b. Annex M5 - Reservorio'!N363+'[1]17b. Annex M5 - Reservorio'!N364+'[1]18a. Annex M6 SILSOM - Bebedero'!N303+'[1]18a. Annex M6 SILSOM - Bebedero'!N304+'[1]18b. Annex M6 - Reservorio'!N303+'[1]18b. Annex M6 - Reservorio'!N304+'[1]18b. Annex M6 - Reservorio'!N305</f>
        <v>1118325</v>
      </c>
      <c r="L31" s="43">
        <f>'[1]17a. Annex M 5 SILLEC - Bebeder'!O362+'[1]17a. Annex M 5 SILLEC - Bebeder'!O363+'[1]17b. Annex M5 - Reservorio'!O362+'[1]17b. Annex M5 - Reservorio'!O363+'[1]17b. Annex M5 - Reservorio'!O364+'[1]18a. Annex M6 SILSOM - Bebedero'!O303+'[1]18a. Annex M6 SILSOM - Bebedero'!O304+'[1]18b. Annex M6 - Reservorio'!O303+'[1]18b. Annex M6 - Reservorio'!O304+'[1]18b. Annex M6 - Reservorio'!O305</f>
        <v>372725</v>
      </c>
      <c r="M31" s="43">
        <f>'[1]17a. Annex M 5 SILLEC - Bebeder'!P362+'[1]17a. Annex M 5 SILLEC - Bebeder'!P363+'[1]17b. Annex M5 - Reservorio'!P362+'[1]17b. Annex M5 - Reservorio'!P363+'[1]17b. Annex M5 - Reservorio'!P364+'[1]18a. Annex M6 SILSOM - Bebedero'!P303+'[1]18a. Annex M6 SILSOM - Bebedero'!P304+'[1]18b. Annex M6 - Reservorio'!P303+'[1]18b. Annex M6 - Reservorio'!P304+'[1]18b. Annex M6 - Reservorio'!P305</f>
        <v>0</v>
      </c>
      <c r="N31" s="43">
        <f>'[1]17a. Annex M 5 SILLEC - Bebeder'!Q362+'[1]17a. Annex M 5 SILLEC - Bebeder'!Q363+'[1]17b. Annex M5 - Reservorio'!Q362+'[1]17b. Annex M5 - Reservorio'!Q363+'[1]17b. Annex M5 - Reservorio'!Q364+'[1]18a. Annex M6 SILSOM - Bebedero'!Q303+'[1]18a. Annex M6 SILSOM - Bebedero'!Q304+'[1]18b. Annex M6 - Reservorio'!Q303+'[1]18b. Annex M6 - Reservorio'!Q304+'[1]18b. Annex M6 - Reservorio'!Q305</f>
        <v>0</v>
      </c>
      <c r="O31" s="43">
        <f t="shared" ref="O31" si="9">SUM(H31:N31)</f>
        <v>3726925</v>
      </c>
      <c r="P31" s="14" t="s">
        <v>92</v>
      </c>
      <c r="Q31" s="263"/>
      <c r="R31" s="41"/>
      <c r="S31" s="41"/>
      <c r="T31" s="41"/>
      <c r="U31" s="41"/>
      <c r="V31" s="41"/>
      <c r="W31" s="41"/>
      <c r="X31" s="41"/>
      <c r="Y31" s="41"/>
    </row>
    <row r="32" spans="1:25" ht="69.599999999999994" customHeight="1">
      <c r="A32" s="372"/>
      <c r="B32" s="355"/>
      <c r="C32" s="358"/>
      <c r="D32" s="357" t="s">
        <v>93</v>
      </c>
      <c r="E32" s="351" t="s">
        <v>50</v>
      </c>
      <c r="F32" s="320" t="s">
        <v>22</v>
      </c>
      <c r="G32" s="44" t="s">
        <v>94</v>
      </c>
      <c r="H32" s="43">
        <f>'[1]Presupuesto Cofinanc. (CUP)'!B54*40%*20189/(15554+20189)</f>
        <v>1965604.7453364294</v>
      </c>
      <c r="I32" s="43">
        <f>'[1]Presupuesto Cofinanc. (CUP)'!C54*40%*20189/(15554+20189)</f>
        <v>1965604.7453364294</v>
      </c>
      <c r="J32" s="43">
        <f>'[1]Presupuesto Cofinanc. (CUP)'!D54*40%*20189/(15554+20189)</f>
        <v>1965604.7453364294</v>
      </c>
      <c r="K32" s="43">
        <f>'[1]Presupuesto Cofinanc. (CUP)'!E54*40%*20189/(15554+20189)</f>
        <v>1965604.7453364294</v>
      </c>
      <c r="L32" s="43">
        <f>'[1]Presupuesto Cofinanc. (CUP)'!F54*40%*20189/(15554+20189)</f>
        <v>1965604.7453364294</v>
      </c>
      <c r="M32" s="43">
        <f>'[1]Presupuesto Cofinanc. (CUP)'!G54*40%*20189/(15554+20189)</f>
        <v>1965604.7453364294</v>
      </c>
      <c r="N32" s="43">
        <f>'[1]Presupuesto Cofinanc. (CUP)'!H54*40%*20189/(15554+20189)</f>
        <v>1965604.7453364294</v>
      </c>
      <c r="O32" s="43">
        <f t="shared" ref="O32:O33" si="10">SUM(H32:N32)</f>
        <v>13759233.217355007</v>
      </c>
      <c r="P32" s="326" t="s">
        <v>95</v>
      </c>
      <c r="Q32" s="261"/>
      <c r="R32" s="41"/>
      <c r="S32" s="41"/>
      <c r="T32" s="41"/>
      <c r="U32" s="41"/>
      <c r="V32" s="41"/>
      <c r="W32" s="41"/>
      <c r="X32" s="41"/>
      <c r="Y32" s="41"/>
    </row>
    <row r="33" spans="1:27" ht="43.5">
      <c r="A33" s="372"/>
      <c r="B33" s="355"/>
      <c r="C33" s="358"/>
      <c r="D33" s="357"/>
      <c r="E33" s="351"/>
      <c r="F33" s="350" t="s">
        <v>51</v>
      </c>
      <c r="G33" s="44" t="s">
        <v>70</v>
      </c>
      <c r="H33" s="43">
        <f>'[1]Presupuesto Cofinanc. (CUP)'!B52*14643227/34032056</f>
        <v>241174.40765837312</v>
      </c>
      <c r="I33" s="43">
        <f>'[1]Presupuesto Cofinanc. (CUP)'!C52*14643227/34032056</f>
        <v>100688.0856970834</v>
      </c>
      <c r="J33" s="43">
        <f>'[1]Presupuesto Cofinanc. (CUP)'!D52*14643227/34032056</f>
        <v>100688.0856970834</v>
      </c>
      <c r="K33" s="43">
        <f>'[1]Presupuesto Cofinanc. (CUP)'!E52*14643227/34032056</f>
        <v>100688.0856970834</v>
      </c>
      <c r="L33" s="43">
        <f>'[1]Presupuesto Cofinanc. (CUP)'!F52*14643227/34032056</f>
        <v>100688.0856970834</v>
      </c>
      <c r="M33" s="43">
        <f>'[1]Presupuesto Cofinanc. (CUP)'!G52*14643227/34032056</f>
        <v>100688.0856970834</v>
      </c>
      <c r="N33" s="43">
        <f>'[1]Presupuesto Cofinanc. (CUP)'!H52*14643227/34032056</f>
        <v>100688.0856970834</v>
      </c>
      <c r="O33" s="43">
        <f t="shared" si="10"/>
        <v>845302.92184087343</v>
      </c>
      <c r="P33" s="326" t="s">
        <v>96</v>
      </c>
      <c r="Q33" s="261"/>
      <c r="R33" s="41"/>
      <c r="S33" s="41"/>
      <c r="T33" s="41"/>
      <c r="U33" s="41"/>
      <c r="V33" s="41"/>
      <c r="W33" s="41"/>
      <c r="X33" s="41"/>
      <c r="Y33" s="41"/>
    </row>
    <row r="34" spans="1:27" ht="29.1">
      <c r="A34" s="372"/>
      <c r="B34" s="355"/>
      <c r="C34" s="358"/>
      <c r="D34" s="357"/>
      <c r="E34" s="351"/>
      <c r="F34" s="350"/>
      <c r="G34" s="42" t="s">
        <v>68</v>
      </c>
      <c r="H34" s="43">
        <f>([2]Hoja1!$BI$49/7)*(O20/(O3+O20))</f>
        <v>315664.46235350019</v>
      </c>
      <c r="I34" s="43">
        <f>H34</f>
        <v>315664.46235350019</v>
      </c>
      <c r="J34" s="43">
        <f t="shared" ref="J34:N34" si="11">I34</f>
        <v>315664.46235350019</v>
      </c>
      <c r="K34" s="43">
        <f t="shared" si="11"/>
        <v>315664.46235350019</v>
      </c>
      <c r="L34" s="43">
        <f t="shared" si="11"/>
        <v>315664.46235350019</v>
      </c>
      <c r="M34" s="43">
        <f t="shared" si="11"/>
        <v>315664.46235350019</v>
      </c>
      <c r="N34" s="43">
        <f t="shared" si="11"/>
        <v>315664.46235350019</v>
      </c>
      <c r="O34" s="43">
        <f t="shared" ref="O34" si="12">SUM(H34:N34)</f>
        <v>2209651.236474501</v>
      </c>
      <c r="P34" s="326" t="s">
        <v>97</v>
      </c>
      <c r="Q34" s="267"/>
      <c r="R34" s="41"/>
      <c r="S34" s="41"/>
      <c r="T34" s="41"/>
      <c r="U34" s="41"/>
      <c r="V34" s="41"/>
      <c r="W34" s="41"/>
      <c r="X34" s="41"/>
      <c r="Y34" s="41"/>
    </row>
    <row r="35" spans="1:27" ht="29.1">
      <c r="A35" s="255"/>
      <c r="B35" s="254" t="s">
        <v>98</v>
      </c>
      <c r="C35" s="242"/>
      <c r="D35" s="243"/>
      <c r="E35" s="47"/>
      <c r="F35" s="47"/>
      <c r="G35" s="47"/>
      <c r="H35" s="277">
        <f>SUM(H3:H34)</f>
        <v>17839177.789418843</v>
      </c>
      <c r="I35" s="277">
        <f t="shared" ref="I35:N35" si="13">SUM(I3:I34)</f>
        <v>17681809.922283102</v>
      </c>
      <c r="J35" s="277">
        <f t="shared" si="13"/>
        <v>19189999.905941274</v>
      </c>
      <c r="K35" s="277">
        <f t="shared" si="13"/>
        <v>18183973.298241276</v>
      </c>
      <c r="L35" s="277">
        <f t="shared" si="13"/>
        <v>14222549.26648551</v>
      </c>
      <c r="M35" s="277">
        <f t="shared" si="13"/>
        <v>12007255.098677333</v>
      </c>
      <c r="N35" s="277">
        <f t="shared" si="13"/>
        <v>11833377.654677333</v>
      </c>
      <c r="O35" s="277">
        <f t="shared" si="3"/>
        <v>110958142.93572468</v>
      </c>
      <c r="P35" s="326"/>
      <c r="Q35" s="261"/>
      <c r="R35" s="41"/>
      <c r="S35" s="41"/>
      <c r="T35" s="41"/>
      <c r="U35" s="41"/>
      <c r="V35" s="41"/>
      <c r="W35" s="41"/>
      <c r="X35" s="41"/>
      <c r="Y35" s="41"/>
      <c r="Z35" s="41"/>
      <c r="AA35" s="41"/>
    </row>
    <row r="36" spans="1:27" ht="72" customHeight="1">
      <c r="A36" s="372" t="s">
        <v>99</v>
      </c>
      <c r="B36" s="373" t="s">
        <v>100</v>
      </c>
      <c r="C36" s="356" t="s">
        <v>101</v>
      </c>
      <c r="D36" s="322" t="s">
        <v>102</v>
      </c>
      <c r="E36" s="351" t="s">
        <v>21</v>
      </c>
      <c r="F36" s="320" t="s">
        <v>40</v>
      </c>
      <c r="G36" s="39" t="s">
        <v>103</v>
      </c>
      <c r="H36" s="43">
        <f>'[1]2.Detailed budget notes'!G227</f>
        <v>3000</v>
      </c>
      <c r="I36" s="43">
        <f>'[1]2.Detailed budget notes'!G228</f>
        <v>3000</v>
      </c>
      <c r="J36" s="43">
        <f>'[1]2.Detailed budget notes'!G230</f>
        <v>3000</v>
      </c>
      <c r="K36" s="43">
        <f>'[1]2.Detailed budget notes'!G230</f>
        <v>3000</v>
      </c>
      <c r="L36" s="43">
        <f>'[1]2.Detailed budget notes'!G231</f>
        <v>3000</v>
      </c>
      <c r="M36" s="43">
        <f>'[1]2.Detailed budget notes'!G232</f>
        <v>3000</v>
      </c>
      <c r="N36" s="43"/>
      <c r="O36" s="43">
        <f t="shared" si="3"/>
        <v>18000</v>
      </c>
      <c r="P36" s="326" t="s">
        <v>104</v>
      </c>
      <c r="Q36" s="261"/>
      <c r="R36" s="41"/>
      <c r="S36" s="41"/>
      <c r="T36" s="41"/>
      <c r="U36" s="41"/>
      <c r="V36" s="41"/>
      <c r="W36" s="41"/>
      <c r="X36" s="41"/>
      <c r="Y36" s="41"/>
    </row>
    <row r="37" spans="1:27" ht="228.6" customHeight="1">
      <c r="A37" s="372"/>
      <c r="B37" s="373"/>
      <c r="C37" s="356"/>
      <c r="D37" s="322" t="s">
        <v>105</v>
      </c>
      <c r="E37" s="351"/>
      <c r="F37" s="320" t="s">
        <v>46</v>
      </c>
      <c r="G37" s="39" t="s">
        <v>106</v>
      </c>
      <c r="H37" s="43">
        <f>'[1]2.Detailed budget notes'!G235</f>
        <v>35000</v>
      </c>
      <c r="I37" s="43">
        <f>'[1]2.Detailed budget notes'!G236</f>
        <v>15000</v>
      </c>
      <c r="J37" s="43"/>
      <c r="K37" s="43"/>
      <c r="L37" s="43"/>
      <c r="M37" s="43"/>
      <c r="N37" s="43"/>
      <c r="O37" s="43">
        <f t="shared" si="3"/>
        <v>50000</v>
      </c>
      <c r="P37" s="326" t="s">
        <v>107</v>
      </c>
      <c r="Q37" s="261"/>
      <c r="R37" s="41"/>
      <c r="S37" s="41"/>
      <c r="T37" s="41"/>
      <c r="U37" s="41"/>
      <c r="V37" s="41"/>
      <c r="W37" s="41"/>
      <c r="X37" s="41"/>
      <c r="Y37" s="41"/>
    </row>
    <row r="38" spans="1:27" ht="75.599999999999994" customHeight="1">
      <c r="A38" s="372"/>
      <c r="B38" s="373"/>
      <c r="C38" s="356"/>
      <c r="D38" s="322" t="s">
        <v>108</v>
      </c>
      <c r="E38" s="351"/>
      <c r="F38" s="50" t="s">
        <v>40</v>
      </c>
      <c r="G38" s="39" t="s">
        <v>109</v>
      </c>
      <c r="H38" s="278">
        <f>'[1]2.Detailed budget notes'!G239</f>
        <v>20000</v>
      </c>
      <c r="I38" s="278">
        <f>'[1]2.Detailed budget notes'!G240</f>
        <v>20000</v>
      </c>
      <c r="J38" s="278"/>
      <c r="K38" s="278"/>
      <c r="L38" s="278"/>
      <c r="M38" s="278"/>
      <c r="N38" s="278"/>
      <c r="O38" s="43">
        <f t="shared" si="3"/>
        <v>40000</v>
      </c>
      <c r="P38" s="326" t="s">
        <v>110</v>
      </c>
      <c r="Q38" s="264"/>
      <c r="R38" s="41"/>
      <c r="S38" s="41"/>
      <c r="T38" s="41"/>
      <c r="U38" s="41"/>
      <c r="V38" s="41"/>
      <c r="W38" s="41"/>
      <c r="X38" s="41"/>
      <c r="Y38" s="41"/>
    </row>
    <row r="39" spans="1:27" ht="54" customHeight="1">
      <c r="A39" s="372"/>
      <c r="B39" s="373"/>
      <c r="C39" s="356" t="s">
        <v>111</v>
      </c>
      <c r="D39" s="357" t="s">
        <v>112</v>
      </c>
      <c r="E39" s="351"/>
      <c r="F39" s="350" t="s">
        <v>40</v>
      </c>
      <c r="G39" s="42" t="s">
        <v>113</v>
      </c>
      <c r="H39" s="43">
        <f>'[1]2.Detailed budget notes'!G243</f>
        <v>70000</v>
      </c>
      <c r="I39" s="43">
        <f>'[1]2.Detailed budget notes'!G244</f>
        <v>70000</v>
      </c>
      <c r="J39" s="43"/>
      <c r="K39" s="43"/>
      <c r="L39" s="43"/>
      <c r="M39" s="43"/>
      <c r="N39" s="43"/>
      <c r="O39" s="43">
        <f t="shared" si="3"/>
        <v>140000</v>
      </c>
      <c r="P39" s="326" t="s">
        <v>114</v>
      </c>
      <c r="Q39" s="261"/>
      <c r="R39" s="41"/>
      <c r="S39" s="41"/>
      <c r="T39" s="41"/>
      <c r="U39" s="41"/>
      <c r="V39" s="41"/>
      <c r="W39" s="41"/>
      <c r="X39" s="41"/>
      <c r="Y39" s="41"/>
    </row>
    <row r="40" spans="1:27" ht="29.1">
      <c r="A40" s="372"/>
      <c r="B40" s="373"/>
      <c r="C40" s="356"/>
      <c r="D40" s="357"/>
      <c r="E40" s="351"/>
      <c r="F40" s="350"/>
      <c r="G40" s="42" t="s">
        <v>115</v>
      </c>
      <c r="H40" s="43">
        <f>'[1]2.Detailed budget notes'!G247</f>
        <v>9500</v>
      </c>
      <c r="I40" s="43"/>
      <c r="J40" s="43"/>
      <c r="K40" s="43">
        <f>'[1]2.Detailed budget notes'!F248</f>
        <v>5000</v>
      </c>
      <c r="L40" s="43"/>
      <c r="M40" s="43"/>
      <c r="N40" s="43">
        <f>'[1]2.Detailed budget notes'!F248</f>
        <v>5000</v>
      </c>
      <c r="O40" s="43">
        <f t="shared" si="3"/>
        <v>19500</v>
      </c>
      <c r="P40" s="326" t="s">
        <v>116</v>
      </c>
      <c r="Q40" s="261"/>
      <c r="R40" s="41"/>
      <c r="S40" s="41"/>
      <c r="T40" s="41"/>
      <c r="U40" s="41"/>
      <c r="V40" s="41"/>
      <c r="W40" s="41"/>
      <c r="X40" s="41"/>
      <c r="Y40" s="41"/>
    </row>
    <row r="41" spans="1:27" ht="72.599999999999994">
      <c r="A41" s="372"/>
      <c r="B41" s="373"/>
      <c r="C41" s="356"/>
      <c r="D41" s="357"/>
      <c r="E41" s="351"/>
      <c r="F41" s="350"/>
      <c r="G41" s="42" t="s">
        <v>117</v>
      </c>
      <c r="H41" s="43">
        <f>'[1]2.Detailed budget notes'!F251*3</f>
        <v>12000</v>
      </c>
      <c r="I41" s="43">
        <f>'[1]2.Detailed budget notes'!F251*2</f>
        <v>8000</v>
      </c>
      <c r="J41" s="43">
        <f>I41</f>
        <v>8000</v>
      </c>
      <c r="K41" s="43">
        <f>J41</f>
        <v>8000</v>
      </c>
      <c r="L41" s="43">
        <f>K41</f>
        <v>8000</v>
      </c>
      <c r="M41" s="43">
        <f>L41</f>
        <v>8000</v>
      </c>
      <c r="N41" s="43">
        <f>M41</f>
        <v>8000</v>
      </c>
      <c r="O41" s="43">
        <f t="shared" si="3"/>
        <v>60000</v>
      </c>
      <c r="P41" s="326" t="s">
        <v>118</v>
      </c>
      <c r="Q41" s="261"/>
      <c r="R41" s="41"/>
      <c r="S41" s="41"/>
      <c r="T41" s="41"/>
      <c r="U41" s="41"/>
      <c r="V41" s="41"/>
      <c r="W41" s="41"/>
      <c r="X41" s="41"/>
      <c r="Y41" s="41"/>
    </row>
    <row r="42" spans="1:27" ht="43.5">
      <c r="A42" s="372"/>
      <c r="B42" s="373"/>
      <c r="C42" s="356"/>
      <c r="D42" s="357"/>
      <c r="E42" s="351"/>
      <c r="F42" s="350"/>
      <c r="G42" s="42" t="s">
        <v>119</v>
      </c>
      <c r="H42" s="43">
        <f>'[1]2.Detailed budget notes'!G253</f>
        <v>4500</v>
      </c>
      <c r="I42" s="43"/>
      <c r="J42" s="43"/>
      <c r="K42" s="43"/>
      <c r="L42" s="43"/>
      <c r="M42" s="43"/>
      <c r="N42" s="43"/>
      <c r="O42" s="43">
        <f t="shared" si="3"/>
        <v>4500</v>
      </c>
      <c r="P42" s="326" t="s">
        <v>120</v>
      </c>
      <c r="Q42" s="261"/>
      <c r="R42" s="41"/>
      <c r="S42" s="41"/>
      <c r="T42" s="41"/>
      <c r="U42" s="41"/>
      <c r="V42" s="41"/>
      <c r="W42" s="41"/>
      <c r="X42" s="41"/>
      <c r="Y42" s="41"/>
    </row>
    <row r="43" spans="1:27">
      <c r="A43" s="372"/>
      <c r="B43" s="373"/>
      <c r="C43" s="356"/>
      <c r="D43" s="357"/>
      <c r="E43" s="351"/>
      <c r="F43" s="350"/>
      <c r="G43" s="42" t="s">
        <v>121</v>
      </c>
      <c r="H43" s="43">
        <f>'2.Detailed budget notes'!G325</f>
        <v>50000</v>
      </c>
      <c r="I43" s="43"/>
      <c r="J43" s="43"/>
      <c r="K43" s="43"/>
      <c r="L43" s="43"/>
      <c r="M43" s="43"/>
      <c r="N43" s="43"/>
      <c r="O43" s="43">
        <f t="shared" si="3"/>
        <v>50000</v>
      </c>
      <c r="P43" s="326" t="s">
        <v>122</v>
      </c>
      <c r="Q43" s="261"/>
      <c r="R43" s="41"/>
      <c r="S43" s="41"/>
      <c r="T43" s="41"/>
      <c r="U43" s="41"/>
      <c r="V43" s="41"/>
      <c r="W43" s="41"/>
      <c r="X43" s="41"/>
      <c r="Y43" s="41"/>
    </row>
    <row r="44" spans="1:27" ht="50.25" customHeight="1">
      <c r="A44" s="372"/>
      <c r="B44" s="373"/>
      <c r="C44" s="356"/>
      <c r="D44" s="357" t="s">
        <v>123</v>
      </c>
      <c r="E44" s="351"/>
      <c r="F44" s="350" t="s">
        <v>46</v>
      </c>
      <c r="G44" s="42" t="s">
        <v>124</v>
      </c>
      <c r="H44" s="43">
        <f>'[1]2.Detailed budget notes'!G257</f>
        <v>40000</v>
      </c>
      <c r="I44" s="43">
        <f>'[1]2.Detailed budget notes'!G258</f>
        <v>40000</v>
      </c>
      <c r="J44" s="43">
        <f>'[1]2.Detailed budget notes'!G259</f>
        <v>20000</v>
      </c>
      <c r="K44" s="43">
        <f>'[1]2.Detailed budget notes'!G260</f>
        <v>20000</v>
      </c>
      <c r="L44" s="43">
        <f>'[1]2.Detailed budget notes'!G261</f>
        <v>8000</v>
      </c>
      <c r="M44" s="43">
        <f>'[1]2.Detailed budget notes'!G262</f>
        <v>8000</v>
      </c>
      <c r="N44" s="43">
        <f>'[1]2.Detailed budget notes'!G263</f>
        <v>8000</v>
      </c>
      <c r="O44" s="43">
        <f t="shared" si="3"/>
        <v>144000</v>
      </c>
      <c r="P44" s="326" t="s">
        <v>125</v>
      </c>
      <c r="Q44" s="261"/>
      <c r="R44" s="41"/>
      <c r="S44" s="41"/>
      <c r="T44" s="41"/>
      <c r="U44" s="41"/>
      <c r="V44" s="41"/>
      <c r="W44" s="41"/>
      <c r="X44" s="41"/>
      <c r="Y44" s="41"/>
    </row>
    <row r="45" spans="1:27" ht="50.25" customHeight="1">
      <c r="A45" s="372"/>
      <c r="B45" s="373"/>
      <c r="C45" s="356"/>
      <c r="D45" s="357"/>
      <c r="E45" s="351"/>
      <c r="F45" s="350"/>
      <c r="G45" s="42" t="s">
        <v>126</v>
      </c>
      <c r="H45" s="43">
        <f>'[1]2.Detailed budget notes'!G265/7</f>
        <v>34410</v>
      </c>
      <c r="I45" s="43">
        <f>H45</f>
        <v>34410</v>
      </c>
      <c r="J45" s="43">
        <f t="shared" ref="J45:N45" si="14">I45</f>
        <v>34410</v>
      </c>
      <c r="K45" s="43">
        <f t="shared" si="14"/>
        <v>34410</v>
      </c>
      <c r="L45" s="43">
        <f t="shared" si="14"/>
        <v>34410</v>
      </c>
      <c r="M45" s="43">
        <f t="shared" si="14"/>
        <v>34410</v>
      </c>
      <c r="N45" s="43">
        <f t="shared" si="14"/>
        <v>34410</v>
      </c>
      <c r="O45" s="43">
        <f t="shared" si="3"/>
        <v>240870</v>
      </c>
      <c r="P45" s="326" t="s">
        <v>127</v>
      </c>
      <c r="Q45" s="261"/>
      <c r="R45" s="41"/>
      <c r="S45" s="41"/>
      <c r="T45" s="41"/>
      <c r="U45" s="41"/>
      <c r="V45" s="41"/>
      <c r="W45" s="41"/>
      <c r="X45" s="41"/>
      <c r="Y45" s="41"/>
    </row>
    <row r="46" spans="1:27" ht="47.25" customHeight="1">
      <c r="A46" s="372"/>
      <c r="B46" s="373"/>
      <c r="C46" s="356"/>
      <c r="D46" s="357"/>
      <c r="E46" s="351"/>
      <c r="F46" s="350"/>
      <c r="G46" s="42" t="s">
        <v>128</v>
      </c>
      <c r="H46" s="43">
        <f>'[1]2.Detailed budget notes'!G274</f>
        <v>15000</v>
      </c>
      <c r="I46" s="43">
        <f>'[1]2.Detailed budget notes'!G275</f>
        <v>15000</v>
      </c>
      <c r="J46" s="43">
        <f>'[1]2.Detailed budget notes'!G276</f>
        <v>7500</v>
      </c>
      <c r="K46" s="43">
        <f>'[1]2.Detailed budget notes'!G277</f>
        <v>7500</v>
      </c>
      <c r="L46" s="43">
        <f>'[1]2.Detailed budget notes'!G278</f>
        <v>7500</v>
      </c>
      <c r="M46" s="43">
        <f>'[1]2.Detailed budget notes'!G279</f>
        <v>7500</v>
      </c>
      <c r="N46" s="43"/>
      <c r="O46" s="43">
        <f t="shared" si="3"/>
        <v>60000</v>
      </c>
      <c r="P46" s="326" t="s">
        <v>129</v>
      </c>
      <c r="Q46" s="264"/>
      <c r="R46" s="41"/>
      <c r="S46" s="41"/>
      <c r="T46" s="41"/>
      <c r="U46" s="41"/>
      <c r="V46" s="41"/>
      <c r="W46" s="41"/>
      <c r="X46" s="41"/>
      <c r="Y46" s="41"/>
    </row>
    <row r="47" spans="1:27" ht="29.1">
      <c r="A47" s="256"/>
      <c r="B47" s="254" t="s">
        <v>130</v>
      </c>
      <c r="C47" s="242"/>
      <c r="D47" s="243"/>
      <c r="E47" s="47"/>
      <c r="F47" s="47"/>
      <c r="G47" s="47"/>
      <c r="H47" s="277">
        <f>SUM(H36:H46)</f>
        <v>293410</v>
      </c>
      <c r="I47" s="277">
        <f t="shared" ref="I47:N47" si="15">SUM(I36:I46)</f>
        <v>205410</v>
      </c>
      <c r="J47" s="277">
        <f t="shared" si="15"/>
        <v>72910</v>
      </c>
      <c r="K47" s="277">
        <f t="shared" si="15"/>
        <v>77910</v>
      </c>
      <c r="L47" s="277">
        <f t="shared" si="15"/>
        <v>60910</v>
      </c>
      <c r="M47" s="277">
        <f t="shared" si="15"/>
        <v>60910</v>
      </c>
      <c r="N47" s="277">
        <f t="shared" si="15"/>
        <v>55410</v>
      </c>
      <c r="O47" s="277">
        <f t="shared" si="3"/>
        <v>826870</v>
      </c>
      <c r="P47" s="326"/>
      <c r="Q47" s="261"/>
      <c r="R47" s="41"/>
      <c r="S47" s="41"/>
      <c r="T47" s="41"/>
      <c r="U47" s="41"/>
      <c r="V47" s="41"/>
      <c r="W47" s="41"/>
      <c r="X47" s="41"/>
      <c r="Y47" s="41"/>
      <c r="Z47" s="41"/>
      <c r="AA47" s="41"/>
    </row>
    <row r="48" spans="1:27" s="49" customFormat="1" ht="14.45" customHeight="1">
      <c r="A48" s="371" t="s">
        <v>131</v>
      </c>
      <c r="B48" s="334" t="s">
        <v>132</v>
      </c>
      <c r="C48" s="336" t="s">
        <v>133</v>
      </c>
      <c r="D48" s="352" t="s">
        <v>134</v>
      </c>
      <c r="E48" s="332" t="s">
        <v>21</v>
      </c>
      <c r="F48" s="350" t="s">
        <v>40</v>
      </c>
      <c r="G48" s="45" t="s">
        <v>135</v>
      </c>
      <c r="H48" s="43"/>
      <c r="I48" s="43">
        <f>5000-2500</f>
        <v>2500</v>
      </c>
      <c r="J48" s="43">
        <f>5000-2500</f>
        <v>2500</v>
      </c>
      <c r="K48" s="43">
        <f>10000-5000</f>
        <v>5000</v>
      </c>
      <c r="L48" s="43">
        <f>5000-2500</f>
        <v>2500</v>
      </c>
      <c r="M48" s="43"/>
      <c r="N48" s="43"/>
      <c r="O48" s="43">
        <f t="shared" si="3"/>
        <v>12500</v>
      </c>
      <c r="P48" s="14" t="s">
        <v>136</v>
      </c>
      <c r="Q48" s="263"/>
      <c r="R48" s="41"/>
      <c r="S48" s="41"/>
      <c r="T48" s="41"/>
      <c r="U48" s="41"/>
      <c r="V48" s="41"/>
      <c r="W48" s="41"/>
      <c r="X48" s="41"/>
      <c r="Y48" s="41"/>
    </row>
    <row r="49" spans="1:27" s="49" customFormat="1" ht="84.6" customHeight="1">
      <c r="A49" s="372"/>
      <c r="B49" s="337"/>
      <c r="C49" s="336"/>
      <c r="D49" s="352"/>
      <c r="E49" s="333"/>
      <c r="F49" s="350"/>
      <c r="G49" s="44" t="s">
        <v>137</v>
      </c>
      <c r="H49" s="43">
        <f>68333.8461538462-9857.14285714286</f>
        <v>58476.703296703337</v>
      </c>
      <c r="I49" s="43">
        <f>51027.6923076923-9857.14285714286</f>
        <v>41170.549450549435</v>
      </c>
      <c r="J49" s="43">
        <f>32527.6923076923-9857.14285714286</f>
        <v>22670.549450549443</v>
      </c>
      <c r="K49" s="43">
        <f>48694.3589743589-9857.14285714286</f>
        <v>38837.216117216034</v>
      </c>
      <c r="L49" s="43">
        <f>32527.6923076923-9857.14285714286</f>
        <v>22670.549450549443</v>
      </c>
      <c r="M49" s="43">
        <f>25107.7377130977-9857.14285714286</f>
        <v>15250.59485595484</v>
      </c>
      <c r="N49" s="43">
        <f>48780.9802356202-9857.14285714286</f>
        <v>38923.837378477336</v>
      </c>
      <c r="O49" s="43">
        <f t="shared" si="3"/>
        <v>237999.99999999985</v>
      </c>
      <c r="P49" s="14" t="s">
        <v>138</v>
      </c>
      <c r="Q49" s="263"/>
      <c r="R49" s="41"/>
      <c r="S49" s="41"/>
      <c r="T49" s="41"/>
      <c r="U49" s="41"/>
      <c r="V49" s="41"/>
      <c r="W49" s="41"/>
      <c r="X49" s="41"/>
      <c r="Y49" s="41"/>
    </row>
    <row r="50" spans="1:27" s="49" customFormat="1" ht="93" customHeight="1">
      <c r="A50" s="372"/>
      <c r="B50" s="337"/>
      <c r="C50" s="336"/>
      <c r="D50" s="322" t="s">
        <v>139</v>
      </c>
      <c r="E50" s="42" t="s">
        <v>21</v>
      </c>
      <c r="F50" s="350" t="s">
        <v>140</v>
      </c>
      <c r="G50" s="351" t="s">
        <v>141</v>
      </c>
      <c r="H50" s="359"/>
      <c r="I50" s="359">
        <f>'2.Detailed budget notes'!G375</f>
        <v>2000</v>
      </c>
      <c r="J50" s="359">
        <f>'2.Detailed budget notes'!G376</f>
        <v>2000</v>
      </c>
      <c r="K50" s="359">
        <f>'2.Detailed budget notes'!G377</f>
        <v>2000</v>
      </c>
      <c r="L50" s="359">
        <f>'2.Detailed budget notes'!G378</f>
        <v>1000</v>
      </c>
      <c r="M50" s="359"/>
      <c r="N50" s="359"/>
      <c r="O50" s="359">
        <f t="shared" si="3"/>
        <v>7000</v>
      </c>
      <c r="P50" s="353" t="s">
        <v>142</v>
      </c>
      <c r="Q50" s="261"/>
      <c r="R50" s="41"/>
      <c r="S50" s="41"/>
      <c r="T50" s="41"/>
      <c r="U50" s="41"/>
      <c r="V50" s="41"/>
      <c r="W50" s="41"/>
      <c r="X50" s="41"/>
      <c r="Y50" s="41"/>
    </row>
    <row r="51" spans="1:27" ht="29.1">
      <c r="A51" s="372"/>
      <c r="B51" s="337"/>
      <c r="C51" s="336"/>
      <c r="D51" s="322" t="s">
        <v>143</v>
      </c>
      <c r="E51" s="42" t="s">
        <v>21</v>
      </c>
      <c r="F51" s="350"/>
      <c r="G51" s="351"/>
      <c r="H51" s="359"/>
      <c r="I51" s="359"/>
      <c r="J51" s="359"/>
      <c r="K51" s="359"/>
      <c r="L51" s="359"/>
      <c r="M51" s="359"/>
      <c r="N51" s="359"/>
      <c r="O51" s="359"/>
      <c r="P51" s="353"/>
      <c r="Q51" s="261"/>
      <c r="R51" s="41"/>
      <c r="S51" s="41"/>
      <c r="T51" s="41"/>
      <c r="U51" s="41"/>
      <c r="V51" s="41"/>
      <c r="W51" s="41"/>
      <c r="X51" s="41"/>
      <c r="Y51" s="41"/>
    </row>
    <row r="52" spans="1:27" ht="29.1">
      <c r="A52" s="372"/>
      <c r="B52" s="337"/>
      <c r="C52" s="336"/>
      <c r="D52" s="322" t="s">
        <v>144</v>
      </c>
      <c r="E52" s="42" t="s">
        <v>21</v>
      </c>
      <c r="F52" s="324" t="s">
        <v>145</v>
      </c>
      <c r="G52" s="324" t="s">
        <v>146</v>
      </c>
      <c r="H52" s="325"/>
      <c r="I52" s="325">
        <f>'2.Detailed budget notes'!G381</f>
        <v>2000</v>
      </c>
      <c r="J52" s="325">
        <f>'2.Detailed budget notes'!G382</f>
        <v>1000</v>
      </c>
      <c r="K52" s="325"/>
      <c r="L52" s="325"/>
      <c r="M52" s="325"/>
      <c r="N52" s="325"/>
      <c r="O52" s="44">
        <f t="shared" ref="O52:O63" si="16">SUM(H52:N52)</f>
        <v>3000</v>
      </c>
      <c r="P52" s="14" t="s">
        <v>147</v>
      </c>
      <c r="Q52" s="268"/>
      <c r="R52" s="41"/>
      <c r="S52" s="41"/>
      <c r="T52" s="41"/>
      <c r="U52" s="41"/>
      <c r="V52" s="41"/>
      <c r="W52" s="41"/>
      <c r="X52" s="41"/>
      <c r="Y52" s="41"/>
    </row>
    <row r="53" spans="1:27" ht="43.5">
      <c r="A53" s="372"/>
      <c r="B53" s="337"/>
      <c r="C53" s="336" t="s">
        <v>148</v>
      </c>
      <c r="D53" s="322" t="s">
        <v>149</v>
      </c>
      <c r="E53" s="42" t="s">
        <v>21</v>
      </c>
      <c r="F53" s="324" t="s">
        <v>140</v>
      </c>
      <c r="G53" s="324" t="s">
        <v>150</v>
      </c>
      <c r="H53" s="325">
        <f>'2.Detailed budget notes'!G385</f>
        <v>2000</v>
      </c>
      <c r="I53" s="325">
        <f>'2.Detailed budget notes'!G386</f>
        <v>2000</v>
      </c>
      <c r="J53" s="325">
        <f>'2.Detailed budget notes'!G387</f>
        <v>4000</v>
      </c>
      <c r="K53" s="325"/>
      <c r="L53" s="325"/>
      <c r="M53" s="325"/>
      <c r="N53" s="325"/>
      <c r="O53" s="44">
        <f t="shared" si="16"/>
        <v>8000</v>
      </c>
      <c r="P53" s="14" t="s">
        <v>151</v>
      </c>
      <c r="Q53" s="263"/>
      <c r="R53" s="41"/>
      <c r="S53" s="41"/>
      <c r="T53" s="41"/>
      <c r="U53" s="41"/>
      <c r="V53" s="41"/>
      <c r="W53" s="41"/>
      <c r="X53" s="41"/>
      <c r="Y53" s="41"/>
    </row>
    <row r="54" spans="1:27" ht="71.45" customHeight="1">
      <c r="A54" s="372"/>
      <c r="B54" s="337"/>
      <c r="C54" s="336"/>
      <c r="D54" s="322" t="s">
        <v>152</v>
      </c>
      <c r="E54" s="42" t="s">
        <v>21</v>
      </c>
      <c r="F54" s="320" t="s">
        <v>46</v>
      </c>
      <c r="G54" s="321" t="s">
        <v>153</v>
      </c>
      <c r="H54" s="325">
        <f>'2.Detailed budget notes'!G396</f>
        <v>7500</v>
      </c>
      <c r="I54" s="325">
        <f>'2.Detailed budget notes'!G397</f>
        <v>10000</v>
      </c>
      <c r="J54" s="325">
        <f>'2.Detailed budget notes'!G398</f>
        <v>7500</v>
      </c>
      <c r="K54" s="325">
        <f>'2.Detailed budget notes'!G399</f>
        <v>5000</v>
      </c>
      <c r="L54" s="325"/>
      <c r="M54" s="325"/>
      <c r="N54" s="325"/>
      <c r="O54" s="44">
        <f t="shared" si="16"/>
        <v>30000</v>
      </c>
      <c r="P54" s="14" t="s">
        <v>154</v>
      </c>
      <c r="Q54" s="263"/>
      <c r="R54" s="41"/>
      <c r="S54" s="41"/>
      <c r="T54" s="41"/>
      <c r="U54" s="41"/>
      <c r="V54" s="41"/>
      <c r="W54" s="41"/>
      <c r="X54" s="41"/>
      <c r="Y54" s="41"/>
    </row>
    <row r="55" spans="1:27" ht="62.45" customHeight="1">
      <c r="A55" s="372"/>
      <c r="B55" s="337"/>
      <c r="C55" s="336"/>
      <c r="D55" s="322" t="s">
        <v>155</v>
      </c>
      <c r="E55" s="42" t="s">
        <v>21</v>
      </c>
      <c r="F55" s="320" t="str">
        <f>F50</f>
        <v>International Consultants</v>
      </c>
      <c r="G55" s="321" t="s">
        <v>156</v>
      </c>
      <c r="H55" s="279"/>
      <c r="I55" s="325">
        <f>'2.Detailed budget notes'!G396</f>
        <v>7500</v>
      </c>
      <c r="J55" s="325">
        <f>'2.Detailed budget notes'!G397</f>
        <v>10000</v>
      </c>
      <c r="K55" s="279">
        <f>'2.Detailed budget notes'!G398</f>
        <v>7500</v>
      </c>
      <c r="L55" s="279">
        <f>'2.Detailed budget notes'!G399</f>
        <v>5000</v>
      </c>
      <c r="M55" s="279"/>
      <c r="N55" s="279"/>
      <c r="O55" s="44">
        <f t="shared" si="16"/>
        <v>30000</v>
      </c>
      <c r="P55" s="326" t="s">
        <v>157</v>
      </c>
      <c r="Q55" s="261"/>
      <c r="R55" s="41"/>
      <c r="S55" s="41"/>
      <c r="T55" s="41"/>
      <c r="U55" s="41"/>
      <c r="V55" s="41"/>
      <c r="W55" s="41"/>
      <c r="X55" s="41"/>
      <c r="Y55" s="41"/>
    </row>
    <row r="56" spans="1:27" ht="29.1">
      <c r="A56" s="372"/>
      <c r="B56" s="337"/>
      <c r="C56" s="336"/>
      <c r="D56" s="322" t="s">
        <v>158</v>
      </c>
      <c r="E56" s="321" t="s">
        <v>50</v>
      </c>
      <c r="F56" s="320" t="s">
        <v>145</v>
      </c>
      <c r="G56" s="321" t="s">
        <v>159</v>
      </c>
      <c r="H56" s="325">
        <f t="shared" ref="H56:N56" si="17">114456-35714.2856</f>
        <v>78741.714399999997</v>
      </c>
      <c r="I56" s="325">
        <f t="shared" si="17"/>
        <v>78741.714399999997</v>
      </c>
      <c r="J56" s="325">
        <f t="shared" si="17"/>
        <v>78741.714399999997</v>
      </c>
      <c r="K56" s="325">
        <f t="shared" si="17"/>
        <v>78741.714399999997</v>
      </c>
      <c r="L56" s="325">
        <f t="shared" si="17"/>
        <v>78741.714399999997</v>
      </c>
      <c r="M56" s="325">
        <f t="shared" si="17"/>
        <v>78741.714399999997</v>
      </c>
      <c r="N56" s="325">
        <f t="shared" si="17"/>
        <v>78741.714399999997</v>
      </c>
      <c r="O56" s="44">
        <f t="shared" si="16"/>
        <v>551192.00080000004</v>
      </c>
      <c r="P56" s="326" t="s">
        <v>160</v>
      </c>
      <c r="Q56" s="261"/>
      <c r="R56" s="41"/>
      <c r="S56" s="41"/>
      <c r="T56" s="41"/>
      <c r="U56" s="41"/>
      <c r="V56" s="41"/>
      <c r="W56" s="41"/>
      <c r="X56" s="41"/>
      <c r="Y56" s="41"/>
    </row>
    <row r="57" spans="1:27" ht="29.1">
      <c r="A57" s="372"/>
      <c r="B57" s="337"/>
      <c r="C57" s="336"/>
      <c r="D57" s="357" t="s">
        <v>161</v>
      </c>
      <c r="E57" s="332" t="s">
        <v>21</v>
      </c>
      <c r="F57" s="320" t="str">
        <f>F50</f>
        <v>International Consultants</v>
      </c>
      <c r="G57" s="321" t="s">
        <v>162</v>
      </c>
      <c r="H57" s="279">
        <f>'2.Detailed budget notes'!G407</f>
        <v>6000</v>
      </c>
      <c r="I57" s="279"/>
      <c r="J57" s="279"/>
      <c r="K57" s="279">
        <f>'2.Detailed budget notes'!G408</f>
        <v>2500</v>
      </c>
      <c r="L57" s="279"/>
      <c r="M57" s="279"/>
      <c r="N57" s="279">
        <f>'2.Detailed budget notes'!G409</f>
        <v>2500</v>
      </c>
      <c r="O57" s="44">
        <f t="shared" si="16"/>
        <v>11000</v>
      </c>
      <c r="P57" s="326" t="s">
        <v>163</v>
      </c>
      <c r="Q57" s="261"/>
      <c r="R57" s="41"/>
      <c r="S57" s="41"/>
      <c r="T57" s="41"/>
      <c r="U57" s="41"/>
      <c r="V57" s="41"/>
      <c r="W57" s="41"/>
      <c r="X57" s="41"/>
      <c r="Y57" s="41"/>
    </row>
    <row r="58" spans="1:27" ht="43.5">
      <c r="A58" s="372"/>
      <c r="B58" s="337"/>
      <c r="C58" s="336"/>
      <c r="D58" s="357"/>
      <c r="E58" s="360"/>
      <c r="F58" s="350" t="s">
        <v>145</v>
      </c>
      <c r="G58" s="321" t="s">
        <v>164</v>
      </c>
      <c r="H58" s="279">
        <f>'[1]2.Detailed budget notes'!G344</f>
        <v>3500</v>
      </c>
      <c r="I58" s="279">
        <f>'[1]2.Detailed budget notes'!G345</f>
        <v>4000</v>
      </c>
      <c r="J58" s="279"/>
      <c r="K58" s="279"/>
      <c r="L58" s="279"/>
      <c r="M58" s="279"/>
      <c r="N58" s="279"/>
      <c r="O58" s="44">
        <f t="shared" si="16"/>
        <v>7500</v>
      </c>
      <c r="P58" s="326" t="s">
        <v>165</v>
      </c>
      <c r="Q58" s="261"/>
      <c r="R58" s="41"/>
      <c r="S58" s="41"/>
      <c r="T58" s="41"/>
      <c r="U58" s="41"/>
      <c r="V58" s="41"/>
      <c r="W58" s="41"/>
      <c r="X58" s="41"/>
      <c r="Y58" s="41"/>
    </row>
    <row r="59" spans="1:27" ht="29.1">
      <c r="A59" s="372"/>
      <c r="B59" s="337"/>
      <c r="C59" s="336"/>
      <c r="D59" s="357"/>
      <c r="E59" s="333"/>
      <c r="F59" s="350"/>
      <c r="G59" s="321" t="s">
        <v>166</v>
      </c>
      <c r="H59" s="279">
        <f>'[1]2.Detailed budget notes'!G348</f>
        <v>5000</v>
      </c>
      <c r="I59" s="279"/>
      <c r="J59" s="279"/>
      <c r="K59" s="279"/>
      <c r="L59" s="279"/>
      <c r="M59" s="279"/>
      <c r="N59" s="279"/>
      <c r="O59" s="44">
        <f t="shared" si="16"/>
        <v>5000</v>
      </c>
      <c r="P59" s="326" t="s">
        <v>167</v>
      </c>
      <c r="Q59" s="264"/>
      <c r="R59" s="41"/>
      <c r="S59" s="41"/>
      <c r="T59" s="41"/>
      <c r="U59" s="41"/>
      <c r="V59" s="41"/>
      <c r="W59" s="41"/>
      <c r="X59" s="41"/>
      <c r="Y59" s="41"/>
    </row>
    <row r="60" spans="1:27" ht="130.5" customHeight="1">
      <c r="A60" s="372"/>
      <c r="B60" s="337"/>
      <c r="C60" s="332" t="s">
        <v>168</v>
      </c>
      <c r="D60" s="322" t="s">
        <v>169</v>
      </c>
      <c r="E60" s="42" t="s">
        <v>21</v>
      </c>
      <c r="F60" s="320" t="s">
        <v>46</v>
      </c>
      <c r="G60" s="45" t="s">
        <v>170</v>
      </c>
      <c r="H60" s="43">
        <f>'2.Detailed budget notes'!G419</f>
        <v>2500</v>
      </c>
      <c r="I60" s="43">
        <f>'2.Detailed budget notes'!G420</f>
        <v>2500</v>
      </c>
      <c r="J60" s="43">
        <f>'2.Detailed budget notes'!G421</f>
        <v>2500</v>
      </c>
      <c r="K60" s="43">
        <f>'2.Detailed budget notes'!G422</f>
        <v>2500</v>
      </c>
      <c r="L60" s="43">
        <f>'2.Detailed budget notes'!G423</f>
        <v>2500</v>
      </c>
      <c r="M60" s="43">
        <f>'2.Detailed budget notes'!G424</f>
        <v>2500</v>
      </c>
      <c r="N60" s="43">
        <f>'2.Detailed budget notes'!G425</f>
        <v>2500</v>
      </c>
      <c r="O60" s="43">
        <f t="shared" si="16"/>
        <v>17500</v>
      </c>
      <c r="P60" s="326" t="s">
        <v>171</v>
      </c>
      <c r="Q60" s="261"/>
      <c r="R60" s="41"/>
      <c r="S60" s="41"/>
      <c r="T60" s="41"/>
      <c r="U60" s="41"/>
      <c r="V60" s="41"/>
      <c r="W60" s="41"/>
      <c r="X60" s="41"/>
      <c r="Y60" s="41"/>
    </row>
    <row r="61" spans="1:27" ht="57.95">
      <c r="A61" s="372"/>
      <c r="B61" s="335"/>
      <c r="C61" s="333"/>
      <c r="D61" s="322" t="s">
        <v>172</v>
      </c>
      <c r="E61" s="42" t="s">
        <v>21</v>
      </c>
      <c r="F61" s="320" t="s">
        <v>46</v>
      </c>
      <c r="G61" s="42" t="s">
        <v>173</v>
      </c>
      <c r="H61" s="43">
        <f>'2.Detailed budget notes'!G428</f>
        <v>1500</v>
      </c>
      <c r="I61" s="43">
        <f>'2.Detailed budget notes'!G429</f>
        <v>1500</v>
      </c>
      <c r="J61" s="43">
        <f>'2.Detailed budget notes'!G430</f>
        <v>1500</v>
      </c>
      <c r="K61" s="43">
        <f>'2.Detailed budget notes'!G431</f>
        <v>1500</v>
      </c>
      <c r="L61" s="43">
        <f>'2.Detailed budget notes'!G432</f>
        <v>1500</v>
      </c>
      <c r="M61" s="43"/>
      <c r="N61" s="43"/>
      <c r="O61" s="43">
        <f t="shared" si="16"/>
        <v>7500</v>
      </c>
      <c r="P61" s="326" t="s">
        <v>174</v>
      </c>
      <c r="Q61" s="261"/>
      <c r="R61" s="41"/>
      <c r="S61" s="41"/>
      <c r="T61" s="41"/>
      <c r="U61" s="41"/>
      <c r="V61" s="41"/>
      <c r="W61" s="41"/>
      <c r="X61" s="41"/>
      <c r="Y61" s="41"/>
    </row>
    <row r="62" spans="1:27" ht="114.75" customHeight="1">
      <c r="A62" s="319"/>
      <c r="B62" s="334"/>
      <c r="C62" s="244"/>
      <c r="D62" s="332" t="s">
        <v>175</v>
      </c>
      <c r="E62" s="332" t="s">
        <v>21</v>
      </c>
      <c r="F62" s="350" t="s">
        <v>46</v>
      </c>
      <c r="G62" s="42" t="s">
        <v>173</v>
      </c>
      <c r="H62" s="43">
        <f>'2.Detailed budget notes'!G435</f>
        <v>1500</v>
      </c>
      <c r="I62" s="43">
        <f>'2.Detailed budget notes'!G436</f>
        <v>1500</v>
      </c>
      <c r="J62" s="43">
        <f>'2.Detailed budget notes'!G437</f>
        <v>1500</v>
      </c>
      <c r="K62" s="43">
        <f>'2.Detailed budget notes'!G438</f>
        <v>1500</v>
      </c>
      <c r="L62" s="43">
        <f>'2.Detailed budget notes'!G439</f>
        <v>1500</v>
      </c>
      <c r="M62" s="43">
        <f>'2.Detailed budget notes'!G440</f>
        <v>1500</v>
      </c>
      <c r="N62" s="43">
        <f>'2.Detailed budget notes'!G441</f>
        <v>1500</v>
      </c>
      <c r="O62" s="43">
        <f t="shared" si="16"/>
        <v>10500</v>
      </c>
      <c r="P62" s="326" t="s">
        <v>176</v>
      </c>
      <c r="Q62" s="261"/>
      <c r="R62" s="41"/>
      <c r="S62" s="41"/>
      <c r="T62" s="41"/>
      <c r="U62" s="41"/>
      <c r="V62" s="41"/>
      <c r="W62" s="41"/>
      <c r="X62" s="41"/>
      <c r="Y62" s="41"/>
    </row>
    <row r="63" spans="1:27">
      <c r="A63" s="251"/>
      <c r="B63" s="335"/>
      <c r="C63" s="245"/>
      <c r="D63" s="333"/>
      <c r="E63" s="333"/>
      <c r="F63" s="350"/>
      <c r="G63" s="42" t="s">
        <v>177</v>
      </c>
      <c r="H63" s="43"/>
      <c r="I63" s="43">
        <f>'2.Detailed budget notes'!G444</f>
        <v>3000</v>
      </c>
      <c r="J63" s="43">
        <f>'2.Detailed budget notes'!G445</f>
        <v>3000</v>
      </c>
      <c r="K63" s="43"/>
      <c r="L63" s="43"/>
      <c r="M63" s="43"/>
      <c r="N63" s="43"/>
      <c r="O63" s="43">
        <f t="shared" si="16"/>
        <v>6000</v>
      </c>
      <c r="P63" s="326" t="s">
        <v>178</v>
      </c>
      <c r="Q63" s="264"/>
      <c r="R63" s="41"/>
      <c r="S63" s="41"/>
      <c r="T63" s="41"/>
      <c r="U63" s="41"/>
      <c r="V63" s="41"/>
      <c r="W63" s="41"/>
      <c r="X63" s="41"/>
      <c r="Y63" s="41"/>
    </row>
    <row r="64" spans="1:27" ht="29.1">
      <c r="A64" s="246"/>
      <c r="B64" s="46" t="s">
        <v>179</v>
      </c>
      <c r="C64" s="46"/>
      <c r="D64" s="46"/>
      <c r="E64" s="47"/>
      <c r="F64" s="47"/>
      <c r="G64" s="47"/>
      <c r="H64" s="277">
        <f t="shared" ref="H64:O64" si="18">SUM(H48:H63)</f>
        <v>166718.41769670334</v>
      </c>
      <c r="I64" s="277">
        <f t="shared" si="18"/>
        <v>158412.26385054944</v>
      </c>
      <c r="J64" s="277">
        <f t="shared" si="18"/>
        <v>136912.26385054944</v>
      </c>
      <c r="K64" s="277">
        <f t="shared" si="18"/>
        <v>145078.93051721604</v>
      </c>
      <c r="L64" s="277">
        <f t="shared" si="18"/>
        <v>115412.26385054944</v>
      </c>
      <c r="M64" s="277">
        <f t="shared" si="18"/>
        <v>97992.309255954839</v>
      </c>
      <c r="N64" s="277">
        <f t="shared" si="18"/>
        <v>124165.55177847733</v>
      </c>
      <c r="O64" s="277">
        <f t="shared" si="18"/>
        <v>944692.00079999992</v>
      </c>
      <c r="P64" s="51"/>
      <c r="Q64" s="264"/>
      <c r="R64" s="41"/>
      <c r="S64" s="41"/>
      <c r="T64" s="41"/>
      <c r="U64" s="41"/>
      <c r="V64" s="41"/>
      <c r="W64" s="41"/>
      <c r="X64" s="41"/>
      <c r="Y64" s="41"/>
      <c r="Z64" s="41"/>
      <c r="AA64" s="41"/>
    </row>
    <row r="65" spans="1:29" ht="28.7" customHeight="1">
      <c r="A65" s="323"/>
      <c r="B65" s="362" t="s">
        <v>180</v>
      </c>
      <c r="C65" s="363" t="s">
        <v>181</v>
      </c>
      <c r="D65" s="363"/>
      <c r="E65" s="363" t="s">
        <v>21</v>
      </c>
      <c r="F65" s="52" t="s">
        <v>145</v>
      </c>
      <c r="G65" s="45" t="s">
        <v>182</v>
      </c>
      <c r="H65" s="43">
        <f>'[1]2.Detailed budget notes'!G390/7 + ('2.Detailed budget notes'!G451-'2.Detailed budget notes'!G450)/7</f>
        <v>84514.28571428571</v>
      </c>
      <c r="I65" s="43">
        <f t="shared" ref="I65:N65" si="19">H65</f>
        <v>84514.28571428571</v>
      </c>
      <c r="J65" s="43">
        <f t="shared" si="19"/>
        <v>84514.28571428571</v>
      </c>
      <c r="K65" s="43">
        <f t="shared" si="19"/>
        <v>84514.28571428571</v>
      </c>
      <c r="L65" s="43">
        <f t="shared" si="19"/>
        <v>84514.28571428571</v>
      </c>
      <c r="M65" s="43">
        <f t="shared" si="19"/>
        <v>84514.28571428571</v>
      </c>
      <c r="N65" s="43">
        <f t="shared" si="19"/>
        <v>84514.28571428571</v>
      </c>
      <c r="O65" s="43">
        <f t="shared" ref="O65:O75" si="20">SUM(H65:N65)</f>
        <v>591599.99999999988</v>
      </c>
      <c r="P65" s="53" t="s">
        <v>183</v>
      </c>
      <c r="Q65" s="265"/>
      <c r="R65" s="41"/>
      <c r="S65" s="41"/>
      <c r="T65" s="41"/>
      <c r="U65" s="41"/>
      <c r="V65" s="41"/>
      <c r="W65" s="41"/>
      <c r="X65" s="41"/>
      <c r="Y65" s="41"/>
    </row>
    <row r="66" spans="1:29" ht="50.25" customHeight="1">
      <c r="A66" s="323"/>
      <c r="B66" s="362"/>
      <c r="C66" s="363"/>
      <c r="D66" s="363"/>
      <c r="E66" s="363"/>
      <c r="F66" s="320" t="s">
        <v>140</v>
      </c>
      <c r="G66" s="45" t="s">
        <v>184</v>
      </c>
      <c r="H66" s="43">
        <v>60000</v>
      </c>
      <c r="I66" s="43">
        <v>30000</v>
      </c>
      <c r="J66" s="43"/>
      <c r="K66" s="43"/>
      <c r="L66" s="43"/>
      <c r="M66" s="43"/>
      <c r="N66" s="43"/>
      <c r="O66" s="43">
        <f t="shared" si="20"/>
        <v>90000</v>
      </c>
      <c r="P66" s="53" t="s">
        <v>185</v>
      </c>
      <c r="Q66" s="265"/>
      <c r="R66" s="41"/>
      <c r="S66" s="41"/>
      <c r="T66" s="41"/>
      <c r="U66" s="41"/>
      <c r="V66" s="41"/>
      <c r="W66" s="41"/>
      <c r="X66" s="41"/>
      <c r="Y66" s="41"/>
    </row>
    <row r="67" spans="1:29" ht="43.5">
      <c r="A67" s="323"/>
      <c r="B67" s="362"/>
      <c r="C67" s="363"/>
      <c r="D67" s="363"/>
      <c r="E67" s="363"/>
      <c r="F67" s="50" t="s">
        <v>40</v>
      </c>
      <c r="G67" s="45" t="s">
        <v>186</v>
      </c>
      <c r="H67" s="43">
        <f>'2.Detailed budget notes'!G459/7</f>
        <v>22192.857142857141</v>
      </c>
      <c r="I67" s="43">
        <f t="shared" ref="I67:N67" si="21">H67</f>
        <v>22192.857142857141</v>
      </c>
      <c r="J67" s="43">
        <f t="shared" si="21"/>
        <v>22192.857142857141</v>
      </c>
      <c r="K67" s="43">
        <f t="shared" si="21"/>
        <v>22192.857142857141</v>
      </c>
      <c r="L67" s="43">
        <f t="shared" si="21"/>
        <v>22192.857142857141</v>
      </c>
      <c r="M67" s="43">
        <f t="shared" si="21"/>
        <v>22192.857142857141</v>
      </c>
      <c r="N67" s="43">
        <f t="shared" si="21"/>
        <v>22192.857142857141</v>
      </c>
      <c r="O67" s="43">
        <f t="shared" si="20"/>
        <v>155349.99999999997</v>
      </c>
      <c r="P67" s="53" t="s">
        <v>187</v>
      </c>
      <c r="Q67" s="265"/>
      <c r="R67" s="41"/>
      <c r="S67" s="41"/>
      <c r="T67" s="41"/>
      <c r="U67" s="41"/>
      <c r="V67" s="41"/>
      <c r="W67" s="41"/>
      <c r="X67" s="41"/>
      <c r="Y67" s="41"/>
    </row>
    <row r="68" spans="1:29" ht="62.25" customHeight="1">
      <c r="A68" s="323"/>
      <c r="B68" s="362"/>
      <c r="C68" s="363"/>
      <c r="D68" s="363"/>
      <c r="E68" s="363"/>
      <c r="F68" s="350" t="s">
        <v>22</v>
      </c>
      <c r="G68" s="327" t="s">
        <v>188</v>
      </c>
      <c r="H68" s="43">
        <f>'2.Detailed budget notes'!G467</f>
        <v>374850</v>
      </c>
      <c r="I68" s="43"/>
      <c r="J68" s="43"/>
      <c r="K68" s="43"/>
      <c r="L68" s="43"/>
      <c r="M68" s="43"/>
      <c r="N68" s="43"/>
      <c r="O68" s="43">
        <f t="shared" si="20"/>
        <v>374850</v>
      </c>
      <c r="P68" s="53" t="s">
        <v>189</v>
      </c>
      <c r="Q68" s="265"/>
      <c r="R68" s="41"/>
      <c r="S68" s="41"/>
      <c r="T68" s="41"/>
      <c r="U68" s="41"/>
      <c r="V68" s="41"/>
      <c r="W68" s="41"/>
      <c r="X68" s="41"/>
      <c r="Y68" s="41"/>
    </row>
    <row r="69" spans="1:29" ht="62.25" customHeight="1">
      <c r="A69" s="323"/>
      <c r="B69" s="362"/>
      <c r="C69" s="363"/>
      <c r="D69" s="363"/>
      <c r="E69" s="363"/>
      <c r="F69" s="350"/>
      <c r="G69" s="327" t="s">
        <v>190</v>
      </c>
      <c r="H69" s="43">
        <f>O69/7</f>
        <v>9450</v>
      </c>
      <c r="I69" s="43">
        <f t="shared" ref="I69:N69" si="22">H69</f>
        <v>9450</v>
      </c>
      <c r="J69" s="43">
        <f t="shared" si="22"/>
        <v>9450</v>
      </c>
      <c r="K69" s="43">
        <f t="shared" si="22"/>
        <v>9450</v>
      </c>
      <c r="L69" s="43">
        <f t="shared" si="22"/>
        <v>9450</v>
      </c>
      <c r="M69" s="43">
        <f t="shared" si="22"/>
        <v>9450</v>
      </c>
      <c r="N69" s="43">
        <f t="shared" si="22"/>
        <v>9450</v>
      </c>
      <c r="O69" s="43">
        <f>'2.Detailed budget notes'!G472</f>
        <v>66150</v>
      </c>
      <c r="P69" s="53" t="s">
        <v>191</v>
      </c>
      <c r="Q69" s="265"/>
      <c r="R69" s="41"/>
      <c r="S69" s="41"/>
      <c r="T69" s="41"/>
      <c r="U69" s="41"/>
      <c r="V69" s="41"/>
      <c r="W69" s="41"/>
      <c r="X69" s="41"/>
      <c r="Y69" s="41"/>
    </row>
    <row r="70" spans="1:29" ht="60.75" customHeight="1">
      <c r="A70" s="323"/>
      <c r="B70" s="362"/>
      <c r="C70" s="363"/>
      <c r="D70" s="363"/>
      <c r="E70" s="363"/>
      <c r="F70" s="350"/>
      <c r="G70" s="327" t="s">
        <v>192</v>
      </c>
      <c r="H70" s="43">
        <v>42068</v>
      </c>
      <c r="I70" s="43"/>
      <c r="J70" s="43"/>
      <c r="K70" s="43"/>
      <c r="L70" s="43"/>
      <c r="M70" s="43"/>
      <c r="N70" s="43"/>
      <c r="O70" s="43">
        <f t="shared" si="20"/>
        <v>42068</v>
      </c>
      <c r="P70" s="53" t="s">
        <v>193</v>
      </c>
      <c r="Q70" s="265"/>
      <c r="R70" s="41"/>
      <c r="S70" s="41"/>
      <c r="T70" s="41"/>
      <c r="U70" s="41"/>
      <c r="V70" s="41"/>
      <c r="W70" s="41"/>
      <c r="X70" s="41"/>
      <c r="Y70" s="41"/>
    </row>
    <row r="71" spans="1:29" ht="60.75" customHeight="1">
      <c r="A71" s="323"/>
      <c r="B71" s="362"/>
      <c r="C71" s="363"/>
      <c r="D71" s="363"/>
      <c r="E71" s="363"/>
      <c r="F71" s="350"/>
      <c r="G71" s="327" t="s">
        <v>194</v>
      </c>
      <c r="H71" s="43">
        <v>39146.666666666672</v>
      </c>
      <c r="I71" s="43"/>
      <c r="J71" s="43"/>
      <c r="K71" s="43"/>
      <c r="L71" s="43"/>
      <c r="M71" s="43"/>
      <c r="N71" s="43"/>
      <c r="O71" s="43">
        <f t="shared" si="20"/>
        <v>39146.666666666672</v>
      </c>
      <c r="P71" s="53" t="s">
        <v>195</v>
      </c>
      <c r="Q71" s="265"/>
      <c r="R71" s="41"/>
      <c r="S71" s="41"/>
      <c r="T71" s="41"/>
      <c r="U71" s="41"/>
      <c r="V71" s="41"/>
      <c r="W71" s="41"/>
      <c r="X71" s="41"/>
      <c r="Y71" s="41"/>
    </row>
    <row r="72" spans="1:29" ht="60.75" customHeight="1">
      <c r="A72" s="323"/>
      <c r="B72" s="362"/>
      <c r="C72" s="363"/>
      <c r="D72" s="363"/>
      <c r="E72" s="363"/>
      <c r="F72" s="350"/>
      <c r="G72" s="327" t="s">
        <v>196</v>
      </c>
      <c r="H72" s="43">
        <v>12978</v>
      </c>
      <c r="I72" s="43"/>
      <c r="J72" s="43"/>
      <c r="K72" s="43"/>
      <c r="L72" s="43"/>
      <c r="M72" s="43"/>
      <c r="N72" s="43"/>
      <c r="O72" s="43">
        <f t="shared" si="20"/>
        <v>12978</v>
      </c>
      <c r="P72" s="53" t="s">
        <v>197</v>
      </c>
      <c r="Q72" s="265"/>
      <c r="R72" s="41"/>
      <c r="S72" s="41"/>
      <c r="T72" s="41"/>
      <c r="U72" s="41"/>
      <c r="V72" s="41"/>
      <c r="W72" s="41"/>
      <c r="X72" s="41"/>
      <c r="Y72" s="41"/>
    </row>
    <row r="73" spans="1:29" ht="29.1">
      <c r="A73" s="323"/>
      <c r="B73" s="362"/>
      <c r="C73" s="363"/>
      <c r="D73" s="363"/>
      <c r="E73" s="363"/>
      <c r="F73" s="350"/>
      <c r="G73" s="327" t="s">
        <v>198</v>
      </c>
      <c r="H73" s="43">
        <v>55419.428571428572</v>
      </c>
      <c r="I73" s="43">
        <v>55419.428571428572</v>
      </c>
      <c r="J73" s="43">
        <v>55419.428571428572</v>
      </c>
      <c r="K73" s="43">
        <v>55419.428571428572</v>
      </c>
      <c r="L73" s="43">
        <v>55419.428571428572</v>
      </c>
      <c r="M73" s="43">
        <v>55419.428571428572</v>
      </c>
      <c r="N73" s="43">
        <v>55419.428571428572</v>
      </c>
      <c r="O73" s="43">
        <f t="shared" si="20"/>
        <v>387936</v>
      </c>
      <c r="P73" s="53" t="s">
        <v>199</v>
      </c>
      <c r="Q73" s="265"/>
      <c r="R73" s="41"/>
      <c r="S73" s="41"/>
      <c r="T73" s="41"/>
      <c r="U73" s="41"/>
      <c r="V73" s="41"/>
      <c r="W73" s="41"/>
      <c r="X73" s="41"/>
      <c r="Y73" s="41"/>
    </row>
    <row r="74" spans="1:29" ht="29.1">
      <c r="A74" s="323"/>
      <c r="B74" s="362"/>
      <c r="C74" s="363"/>
      <c r="D74" s="363"/>
      <c r="E74" s="363" t="s">
        <v>50</v>
      </c>
      <c r="F74" s="52" t="s">
        <v>51</v>
      </c>
      <c r="G74" s="327" t="s">
        <v>200</v>
      </c>
      <c r="H74" s="43">
        <v>159900</v>
      </c>
      <c r="I74" s="43">
        <f t="shared" ref="I74:N74" si="23">H74</f>
        <v>159900</v>
      </c>
      <c r="J74" s="43">
        <f t="shared" si="23"/>
        <v>159900</v>
      </c>
      <c r="K74" s="43">
        <f t="shared" si="23"/>
        <v>159900</v>
      </c>
      <c r="L74" s="43">
        <f t="shared" si="23"/>
        <v>159900</v>
      </c>
      <c r="M74" s="43">
        <f t="shared" si="23"/>
        <v>159900</v>
      </c>
      <c r="N74" s="43">
        <f t="shared" si="23"/>
        <v>159900</v>
      </c>
      <c r="O74" s="43">
        <f t="shared" si="20"/>
        <v>1119300</v>
      </c>
      <c r="P74" s="53" t="s">
        <v>201</v>
      </c>
      <c r="Q74" s="265"/>
      <c r="R74" s="41"/>
      <c r="S74" s="41"/>
      <c r="T74" s="41"/>
      <c r="U74" s="41"/>
      <c r="V74" s="41"/>
      <c r="W74" s="41"/>
      <c r="X74" s="41"/>
      <c r="Y74" s="41"/>
    </row>
    <row r="75" spans="1:29" ht="29.1">
      <c r="A75" s="323"/>
      <c r="B75" s="362"/>
      <c r="C75" s="363"/>
      <c r="D75" s="363"/>
      <c r="E75" s="363"/>
      <c r="F75" s="54" t="s">
        <v>22</v>
      </c>
      <c r="G75" s="45" t="s">
        <v>202</v>
      </c>
      <c r="H75" s="43">
        <v>499014.32</v>
      </c>
      <c r="I75" s="43">
        <v>499014.32</v>
      </c>
      <c r="J75" s="43">
        <v>499014.32</v>
      </c>
      <c r="K75" s="43">
        <v>499014.32</v>
      </c>
      <c r="L75" s="43">
        <v>499014.32</v>
      </c>
      <c r="M75" s="43">
        <v>499014.32</v>
      </c>
      <c r="N75" s="43">
        <v>499014.32</v>
      </c>
      <c r="O75" s="43">
        <f t="shared" si="20"/>
        <v>3493100.2399999998</v>
      </c>
      <c r="P75" s="53" t="s">
        <v>203</v>
      </c>
      <c r="Q75" s="264"/>
      <c r="R75" s="41"/>
      <c r="S75" s="41"/>
      <c r="T75" s="41"/>
      <c r="U75" s="41"/>
      <c r="V75" s="41"/>
      <c r="W75" s="41"/>
      <c r="X75" s="41"/>
      <c r="Y75" s="41"/>
    </row>
    <row r="76" spans="1:29">
      <c r="A76" s="323"/>
      <c r="B76" s="364" t="s">
        <v>204</v>
      </c>
      <c r="C76" s="364"/>
      <c r="D76" s="364"/>
      <c r="E76" s="364"/>
      <c r="F76" s="364"/>
      <c r="G76" s="364"/>
      <c r="H76" s="48">
        <f>SUM(H65:H75)</f>
        <v>1359533.5580952379</v>
      </c>
      <c r="I76" s="48">
        <f t="shared" ref="I76:N76" si="24">SUM(I65:I75)</f>
        <v>860490.89142857143</v>
      </c>
      <c r="J76" s="48">
        <f t="shared" si="24"/>
        <v>830490.89142857143</v>
      </c>
      <c r="K76" s="48">
        <f t="shared" si="24"/>
        <v>830490.89142857143</v>
      </c>
      <c r="L76" s="48">
        <f t="shared" si="24"/>
        <v>830490.89142857143</v>
      </c>
      <c r="M76" s="48">
        <f t="shared" si="24"/>
        <v>830490.89142857143</v>
      </c>
      <c r="N76" s="48">
        <f t="shared" si="24"/>
        <v>830490.89142857143</v>
      </c>
      <c r="O76" s="48">
        <f>SUM(H76:N76)</f>
        <v>6372478.9066666653</v>
      </c>
      <c r="P76" s="51"/>
      <c r="Q76" s="264"/>
      <c r="R76" s="41"/>
      <c r="S76" s="41"/>
      <c r="T76" s="41"/>
      <c r="U76" s="41"/>
      <c r="V76" s="41"/>
      <c r="W76" s="41"/>
      <c r="X76" s="41"/>
      <c r="Y76" s="41"/>
      <c r="Z76" s="41"/>
      <c r="AA76" s="41"/>
      <c r="AB76" s="41"/>
      <c r="AC76" s="41"/>
    </row>
    <row r="77" spans="1:29" ht="15" customHeight="1">
      <c r="A77" s="248"/>
      <c r="B77" s="341" t="s">
        <v>205</v>
      </c>
      <c r="C77" s="342"/>
      <c r="D77" s="343"/>
      <c r="E77" s="338" t="s">
        <v>21</v>
      </c>
      <c r="F77" s="365" t="s">
        <v>40</v>
      </c>
      <c r="G77" s="42" t="s">
        <v>206</v>
      </c>
      <c r="H77" s="317"/>
      <c r="I77" s="317">
        <v>4000</v>
      </c>
      <c r="J77" s="317">
        <v>4000</v>
      </c>
      <c r="K77" s="317">
        <v>4000</v>
      </c>
      <c r="L77" s="317"/>
      <c r="M77" s="317"/>
      <c r="N77" s="317"/>
      <c r="O77" s="40">
        <f t="shared" ref="O77:O81" si="25">SUM(H77:N77)</f>
        <v>12000</v>
      </c>
      <c r="P77" s="326" t="s">
        <v>207</v>
      </c>
      <c r="Q77" s="261"/>
      <c r="R77" s="41"/>
      <c r="S77" s="41"/>
      <c r="T77" s="41"/>
      <c r="U77" s="41"/>
      <c r="V77" s="41"/>
      <c r="W77" s="41"/>
      <c r="X77" s="41"/>
      <c r="Y77" s="41"/>
    </row>
    <row r="78" spans="1:29">
      <c r="A78" s="249"/>
      <c r="B78" s="344"/>
      <c r="C78" s="345"/>
      <c r="D78" s="346"/>
      <c r="E78" s="339"/>
      <c r="F78" s="366"/>
      <c r="G78" s="42" t="s">
        <v>208</v>
      </c>
      <c r="H78" s="317">
        <v>20000</v>
      </c>
      <c r="I78" s="317">
        <v>30000</v>
      </c>
      <c r="J78" s="317">
        <v>40000</v>
      </c>
      <c r="K78" s="317">
        <v>60000</v>
      </c>
      <c r="L78" s="317"/>
      <c r="M78" s="317"/>
      <c r="N78" s="317"/>
      <c r="O78" s="40">
        <f t="shared" si="25"/>
        <v>150000</v>
      </c>
      <c r="P78" s="326" t="s">
        <v>209</v>
      </c>
      <c r="Q78" s="261"/>
      <c r="R78" s="41"/>
      <c r="S78" s="41"/>
      <c r="T78" s="41"/>
      <c r="U78" s="41"/>
      <c r="V78" s="41"/>
      <c r="W78" s="41"/>
      <c r="X78" s="41"/>
      <c r="Y78" s="41"/>
    </row>
    <row r="79" spans="1:29">
      <c r="A79" s="249"/>
      <c r="B79" s="344"/>
      <c r="C79" s="345"/>
      <c r="D79" s="346"/>
      <c r="E79" s="339"/>
      <c r="F79" s="366"/>
      <c r="G79" s="42" t="s">
        <v>210</v>
      </c>
      <c r="H79" s="317"/>
      <c r="I79" s="317"/>
      <c r="J79" s="317"/>
      <c r="K79" s="317"/>
      <c r="L79" s="317">
        <v>35000</v>
      </c>
      <c r="M79" s="317">
        <v>45000</v>
      </c>
      <c r="N79" s="317">
        <v>70000</v>
      </c>
      <c r="O79" s="40">
        <f t="shared" si="25"/>
        <v>150000</v>
      </c>
      <c r="P79" s="326" t="s">
        <v>211</v>
      </c>
      <c r="Q79" s="261"/>
      <c r="R79" s="41"/>
      <c r="S79" s="41"/>
      <c r="T79" s="41"/>
      <c r="U79" s="41"/>
      <c r="V79" s="41"/>
      <c r="W79" s="41"/>
      <c r="X79" s="41"/>
      <c r="Y79" s="41"/>
    </row>
    <row r="80" spans="1:29">
      <c r="A80" s="249"/>
      <c r="B80" s="344"/>
      <c r="C80" s="345"/>
      <c r="D80" s="346"/>
      <c r="E80" s="340"/>
      <c r="F80" s="366"/>
      <c r="G80" s="42" t="s">
        <v>212</v>
      </c>
      <c r="H80" s="317">
        <f>('[3]1.Detailed budget'!H67-H64)/2</f>
        <v>36035.714228571407</v>
      </c>
      <c r="I80" s="317">
        <f>('[3]1.Detailed budget'!I67-I64)/2</f>
        <v>44535.714228571436</v>
      </c>
      <c r="J80" s="317">
        <f>('[3]1.Detailed budget'!J67-J64)/2</f>
        <v>44285.714228571436</v>
      </c>
      <c r="K80" s="317">
        <f>('[3]1.Detailed budget'!K67-K64)/2</f>
        <v>41785.714228571465</v>
      </c>
      <c r="L80" s="317">
        <f>('[3]1.Detailed budget'!L67-L64)/2</f>
        <v>34035.714228571436</v>
      </c>
      <c r="M80" s="317">
        <f>('[3]1.Detailed budget'!M67-M64)/2</f>
        <v>24035.714228571436</v>
      </c>
      <c r="N80" s="317">
        <f>('[3]1.Detailed budget'!N67-N64)/2</f>
        <v>25285.714228571451</v>
      </c>
      <c r="O80" s="40">
        <f t="shared" si="25"/>
        <v>249999.9996000001</v>
      </c>
      <c r="P80" s="326" t="s">
        <v>213</v>
      </c>
      <c r="Q80" s="261"/>
      <c r="R80" s="41"/>
      <c r="S80" s="41"/>
      <c r="T80" s="41"/>
      <c r="U80" s="41"/>
      <c r="V80" s="41"/>
      <c r="W80" s="41"/>
      <c r="X80" s="41"/>
      <c r="Y80" s="41"/>
    </row>
    <row r="81" spans="1:25">
      <c r="A81" s="250"/>
      <c r="B81" s="347"/>
      <c r="C81" s="348"/>
      <c r="D81" s="349"/>
      <c r="E81" s="328" t="s">
        <v>50</v>
      </c>
      <c r="F81" s="367"/>
      <c r="G81" s="42" t="s">
        <v>212</v>
      </c>
      <c r="H81" s="317">
        <f>('[3]1.Detailed budget'!H67-H64)/2</f>
        <v>36035.714228571407</v>
      </c>
      <c r="I81" s="317">
        <f>('[3]1.Detailed budget'!I67-I64)/2</f>
        <v>44535.714228571436</v>
      </c>
      <c r="J81" s="317">
        <f>('[3]1.Detailed budget'!J67-J64)/2</f>
        <v>44285.714228571436</v>
      </c>
      <c r="K81" s="317">
        <f>('[3]1.Detailed budget'!K67-K64)/2</f>
        <v>41785.714228571465</v>
      </c>
      <c r="L81" s="317">
        <f>('[3]1.Detailed budget'!L67-L64)/2</f>
        <v>34035.714228571436</v>
      </c>
      <c r="M81" s="317">
        <f>('[3]1.Detailed budget'!M67-M64)/2</f>
        <v>24035.714228571436</v>
      </c>
      <c r="N81" s="317">
        <f>('[3]1.Detailed budget'!N67-N64)/2</f>
        <v>25285.714228571451</v>
      </c>
      <c r="O81" s="40">
        <f t="shared" si="25"/>
        <v>249999.9996000001</v>
      </c>
      <c r="P81" s="326" t="s">
        <v>214</v>
      </c>
      <c r="Q81" s="264"/>
      <c r="R81" s="41"/>
      <c r="S81" s="41"/>
      <c r="T81" s="41"/>
      <c r="U81" s="41"/>
      <c r="V81" s="41"/>
      <c r="W81" s="41"/>
      <c r="X81" s="41"/>
      <c r="Y81" s="41"/>
    </row>
    <row r="82" spans="1:25">
      <c r="A82" s="250"/>
      <c r="B82" s="368" t="s">
        <v>215</v>
      </c>
      <c r="C82" s="369"/>
      <c r="D82" s="369"/>
      <c r="E82" s="369"/>
      <c r="F82" s="369"/>
      <c r="G82" s="370"/>
      <c r="H82" s="275">
        <f>SUM(H77:H81)</f>
        <v>92071.428457142814</v>
      </c>
      <c r="I82" s="275">
        <f t="shared" ref="I82:O82" si="26">SUM(I77:I81)</f>
        <v>123071.42845714287</v>
      </c>
      <c r="J82" s="275">
        <f t="shared" si="26"/>
        <v>132571.42845714287</v>
      </c>
      <c r="K82" s="275">
        <f t="shared" si="26"/>
        <v>147571.42845714293</v>
      </c>
      <c r="L82" s="275">
        <f t="shared" si="26"/>
        <v>103071.42845714287</v>
      </c>
      <c r="M82" s="275">
        <f t="shared" si="26"/>
        <v>93071.428457142873</v>
      </c>
      <c r="N82" s="275">
        <f t="shared" si="26"/>
        <v>120571.4284571429</v>
      </c>
      <c r="O82" s="275">
        <f t="shared" si="26"/>
        <v>811999.99920000019</v>
      </c>
      <c r="P82" s="326"/>
      <c r="Q82" s="264"/>
      <c r="R82" s="41"/>
      <c r="S82" s="41"/>
      <c r="T82" s="41"/>
      <c r="U82" s="41"/>
      <c r="V82" s="41"/>
      <c r="W82" s="41"/>
      <c r="X82" s="41"/>
      <c r="Y82" s="41"/>
    </row>
    <row r="83" spans="1:25" ht="14.45" customHeight="1">
      <c r="A83" s="361" t="s">
        <v>216</v>
      </c>
      <c r="B83" s="361"/>
      <c r="C83" s="361"/>
      <c r="D83" s="361"/>
      <c r="E83" s="361"/>
      <c r="F83" s="361"/>
      <c r="G83" s="361"/>
      <c r="H83" s="280">
        <f t="shared" ref="H83:N83" si="27">+H76+H64+H47+H35+H77+H78+H79+H80+H81</f>
        <v>19750911.193667926</v>
      </c>
      <c r="I83" s="280">
        <f t="shared" si="27"/>
        <v>19029194.506019365</v>
      </c>
      <c r="J83" s="280">
        <f t="shared" si="27"/>
        <v>20362884.489677537</v>
      </c>
      <c r="K83" s="280">
        <f t="shared" si="27"/>
        <v>19385024.548644204</v>
      </c>
      <c r="L83" s="280">
        <f t="shared" si="27"/>
        <v>15332433.850221775</v>
      </c>
      <c r="M83" s="280">
        <f t="shared" si="27"/>
        <v>13089719.727819005</v>
      </c>
      <c r="N83" s="280">
        <f t="shared" si="27"/>
        <v>12964015.526341528</v>
      </c>
      <c r="O83" s="55">
        <f>SUM(H83:N83)</f>
        <v>119914183.84239133</v>
      </c>
      <c r="P83" s="247"/>
      <c r="Q83" s="266"/>
      <c r="R83" s="41"/>
      <c r="S83" s="41"/>
      <c r="T83" s="41"/>
      <c r="U83" s="41"/>
      <c r="V83" s="41"/>
      <c r="W83" s="41"/>
      <c r="X83" s="41"/>
      <c r="Y83" s="41"/>
    </row>
    <row r="84" spans="1:25">
      <c r="A84" s="361" t="s">
        <v>217</v>
      </c>
      <c r="B84" s="361"/>
      <c r="C84" s="361"/>
      <c r="D84" s="361"/>
      <c r="E84" s="361"/>
      <c r="F84" s="361"/>
      <c r="G84" s="361"/>
      <c r="H84" s="280">
        <f t="shared" ref="H84:N84" si="28">SUM(H3:H13)+H15+SUM(H20:H29)+H31+SUM(H36:H46)+SUM(H48:H55)+SUM(H57:H63)+SUM(H65:H73)+H77+H78+H79+H80</f>
        <v>8197287.4804215459</v>
      </c>
      <c r="I84" s="280">
        <f>SUM(I3:I13)+I15+SUM(I20:I29)+I31+SUM(I36:I46)+SUM(I48:I55)+SUM(I57:I63)+SUM(I65:I73)+I77+I78+I79+I80</f>
        <v>7451122.0837063147</v>
      </c>
      <c r="J84" s="280">
        <f t="shared" si="28"/>
        <v>8392948.4673644919</v>
      </c>
      <c r="K84" s="280">
        <f t="shared" si="28"/>
        <v>7270398.5263311574</v>
      </c>
      <c r="L84" s="280">
        <f t="shared" si="28"/>
        <v>3666061.827908725</v>
      </c>
      <c r="M84" s="280">
        <f t="shared" si="28"/>
        <v>1677963.3055059547</v>
      </c>
      <c r="N84" s="280">
        <f t="shared" si="28"/>
        <v>1551009.1040284773</v>
      </c>
      <c r="O84" s="55">
        <f>SUM(H84:N84)</f>
        <v>38206790.795266666</v>
      </c>
      <c r="R84" s="41"/>
      <c r="S84" s="41"/>
      <c r="T84" s="41"/>
      <c r="U84" s="41"/>
      <c r="V84" s="41"/>
      <c r="W84" s="41"/>
      <c r="X84" s="41"/>
      <c r="Y84" s="41"/>
    </row>
    <row r="85" spans="1:25">
      <c r="A85" s="361" t="s">
        <v>218</v>
      </c>
      <c r="B85" s="361"/>
      <c r="C85" s="361"/>
      <c r="D85" s="361"/>
      <c r="E85" s="361"/>
      <c r="F85" s="361"/>
      <c r="G85" s="361"/>
      <c r="H85" s="280">
        <f t="shared" ref="H85:N85" si="29">H83-H84</f>
        <v>11553623.713246379</v>
      </c>
      <c r="I85" s="280">
        <f t="shared" si="29"/>
        <v>11578072.422313049</v>
      </c>
      <c r="J85" s="280">
        <f t="shared" si="29"/>
        <v>11969936.022313045</v>
      </c>
      <c r="K85" s="280">
        <f t="shared" si="29"/>
        <v>12114626.022313047</v>
      </c>
      <c r="L85" s="280">
        <f t="shared" si="29"/>
        <v>11666372.022313051</v>
      </c>
      <c r="M85" s="280">
        <f t="shared" si="29"/>
        <v>11411756.422313049</v>
      </c>
      <c r="N85" s="280">
        <f t="shared" si="29"/>
        <v>11413006.422313049</v>
      </c>
      <c r="O85" s="55">
        <f t="shared" ref="O85" si="30">O83-O84</f>
        <v>81707393.047124654</v>
      </c>
      <c r="R85" s="41"/>
      <c r="S85" s="41"/>
      <c r="T85" s="41"/>
      <c r="U85" s="41"/>
      <c r="V85" s="41"/>
      <c r="W85" s="41"/>
      <c r="X85" s="41"/>
      <c r="Y85" s="41"/>
    </row>
    <row r="86" spans="1:25">
      <c r="I86" s="41"/>
      <c r="J86" s="41"/>
      <c r="K86" s="41"/>
      <c r="L86" s="41"/>
      <c r="M86" s="41"/>
      <c r="N86" s="41"/>
      <c r="O86" s="41"/>
    </row>
    <row r="88" spans="1:25">
      <c r="H88" s="41"/>
      <c r="I88" s="41"/>
      <c r="J88" s="41"/>
      <c r="K88" s="41"/>
      <c r="L88" s="41"/>
      <c r="M88" s="41"/>
      <c r="N88" s="41"/>
      <c r="O88" s="41"/>
    </row>
    <row r="89" spans="1:25">
      <c r="H89" s="41"/>
      <c r="I89" s="41"/>
      <c r="J89" s="41"/>
      <c r="K89" s="41"/>
      <c r="L89" s="41"/>
      <c r="M89" s="41"/>
      <c r="N89" s="41"/>
      <c r="O89" s="41"/>
    </row>
    <row r="90" spans="1:25">
      <c r="H90" s="41"/>
      <c r="I90" s="41"/>
      <c r="J90" s="41"/>
      <c r="K90" s="41"/>
      <c r="L90" s="41"/>
      <c r="M90" s="41"/>
      <c r="N90" s="41"/>
      <c r="O90" s="41"/>
    </row>
    <row r="101" spans="15:16">
      <c r="O101" s="41"/>
    </row>
    <row r="102" spans="15:16">
      <c r="O102" s="269"/>
    </row>
    <row r="104" spans="15:16">
      <c r="O104" s="269"/>
      <c r="P104" s="270"/>
    </row>
  </sheetData>
  <mergeCells count="71">
    <mergeCell ref="A3:A34"/>
    <mergeCell ref="A36:A46"/>
    <mergeCell ref="A48:A61"/>
    <mergeCell ref="A83:G83"/>
    <mergeCell ref="A84:G84"/>
    <mergeCell ref="F62:F63"/>
    <mergeCell ref="E62:E63"/>
    <mergeCell ref="D62:D63"/>
    <mergeCell ref="B36:B46"/>
    <mergeCell ref="C36:C38"/>
    <mergeCell ref="E36:E46"/>
    <mergeCell ref="C39:C46"/>
    <mergeCell ref="D44:D46"/>
    <mergeCell ref="D39:D43"/>
    <mergeCell ref="F39:F43"/>
    <mergeCell ref="E48:E49"/>
    <mergeCell ref="A85:G85"/>
    <mergeCell ref="B65:B75"/>
    <mergeCell ref="C65:D75"/>
    <mergeCell ref="E65:E73"/>
    <mergeCell ref="E74:E75"/>
    <mergeCell ref="B76:G76"/>
    <mergeCell ref="F68:F73"/>
    <mergeCell ref="F77:F81"/>
    <mergeCell ref="B82:G82"/>
    <mergeCell ref="O50:O51"/>
    <mergeCell ref="P50:P51"/>
    <mergeCell ref="C53:C59"/>
    <mergeCell ref="D57:D59"/>
    <mergeCell ref="F58:F59"/>
    <mergeCell ref="G50:G51"/>
    <mergeCell ref="H50:H51"/>
    <mergeCell ref="I50:I51"/>
    <mergeCell ref="J50:J51"/>
    <mergeCell ref="K50:K51"/>
    <mergeCell ref="L50:L51"/>
    <mergeCell ref="M50:M51"/>
    <mergeCell ref="N50:N51"/>
    <mergeCell ref="E57:E59"/>
    <mergeCell ref="A1:B1"/>
    <mergeCell ref="E1:F1"/>
    <mergeCell ref="B3:B34"/>
    <mergeCell ref="C3:C19"/>
    <mergeCell ref="D11:D12"/>
    <mergeCell ref="F11:F12"/>
    <mergeCell ref="D27:D28"/>
    <mergeCell ref="D3:D10"/>
    <mergeCell ref="F3:F10"/>
    <mergeCell ref="D16:D19"/>
    <mergeCell ref="E16:E19"/>
    <mergeCell ref="D32:D34"/>
    <mergeCell ref="C20:C34"/>
    <mergeCell ref="D20:D26"/>
    <mergeCell ref="E3:E10"/>
    <mergeCell ref="E11:E12"/>
    <mergeCell ref="F17:F19"/>
    <mergeCell ref="F27:F28"/>
    <mergeCell ref="E32:E34"/>
    <mergeCell ref="F20:F26"/>
    <mergeCell ref="F33:F34"/>
    <mergeCell ref="F44:F46"/>
    <mergeCell ref="E20:E29"/>
    <mergeCell ref="D48:D49"/>
    <mergeCell ref="F48:F49"/>
    <mergeCell ref="F50:F51"/>
    <mergeCell ref="C60:C61"/>
    <mergeCell ref="B62:B63"/>
    <mergeCell ref="C48:C52"/>
    <mergeCell ref="B48:B61"/>
    <mergeCell ref="E77:E80"/>
    <mergeCell ref="B77:D81"/>
  </mergeCells>
  <pageMargins left="0.7" right="0.7" top="0.75" bottom="0.75" header="0.3" footer="0.3"/>
  <pageSetup paperSize="8" scale="37" fitToHeight="0" orientation="portrait" cellComments="asDisplayed" r:id="rId1"/>
  <rowBreaks count="1" manualBreakCount="1">
    <brk id="4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L576"/>
  <sheetViews>
    <sheetView showGridLines="0" view="pageBreakPreview" topLeftCell="B19" zoomScale="55" zoomScaleNormal="60" zoomScaleSheetLayoutView="55" workbookViewId="0">
      <selection activeCell="P32" sqref="P32"/>
    </sheetView>
  </sheetViews>
  <sheetFormatPr defaultColWidth="9.140625" defaultRowHeight="14.45"/>
  <cols>
    <col min="1" max="1" width="14.42578125" style="33" bestFit="1" customWidth="1"/>
    <col min="2" max="2" width="5.42578125" customWidth="1"/>
    <col min="3" max="3" width="63" bestFit="1" customWidth="1"/>
    <col min="4" max="4" width="20.42578125" customWidth="1"/>
    <col min="5" max="5" width="15.42578125" bestFit="1" customWidth="1"/>
    <col min="6" max="6" width="17.140625" bestFit="1" customWidth="1"/>
    <col min="7" max="7" width="16.140625" bestFit="1" customWidth="1"/>
    <col min="8" max="8" width="2.42578125" customWidth="1"/>
    <col min="9" max="9" width="7.5703125" customWidth="1"/>
    <col min="10" max="10" width="10.42578125" bestFit="1" customWidth="1"/>
    <col min="12" max="12" width="19.140625" customWidth="1"/>
    <col min="13" max="13" width="9.140625" customWidth="1"/>
  </cols>
  <sheetData>
    <row r="1" spans="1:12">
      <c r="A1" s="385" t="s">
        <v>219</v>
      </c>
      <c r="B1" s="385"/>
      <c r="C1" s="385"/>
      <c r="D1" s="385"/>
      <c r="E1" s="385"/>
      <c r="F1" s="385"/>
      <c r="G1" s="385"/>
    </row>
    <row r="2" spans="1:12" ht="46.5" customHeight="1">
      <c r="A2" s="382" t="s">
        <v>16</v>
      </c>
      <c r="B2" s="382"/>
      <c r="C2" s="382"/>
      <c r="D2" s="1" t="s">
        <v>220</v>
      </c>
      <c r="E2" s="1" t="s">
        <v>221</v>
      </c>
      <c r="F2" s="1" t="s">
        <v>222</v>
      </c>
      <c r="G2" s="1" t="s">
        <v>223</v>
      </c>
    </row>
    <row r="3" spans="1:12" ht="14.45" customHeight="1">
      <c r="A3" s="383" t="s">
        <v>24</v>
      </c>
      <c r="B3" s="386" t="s">
        <v>224</v>
      </c>
      <c r="C3" s="384"/>
      <c r="D3" s="2"/>
      <c r="E3" s="3"/>
      <c r="F3" s="4"/>
      <c r="G3" s="5">
        <f>G4+G10+G22</f>
        <v>4444147.6500000004</v>
      </c>
      <c r="H3" s="149"/>
      <c r="I3" s="149"/>
    </row>
    <row r="4" spans="1:12" ht="14.45" customHeight="1">
      <c r="A4" s="383"/>
      <c r="B4" s="387" t="s">
        <v>22</v>
      </c>
      <c r="C4" s="387"/>
      <c r="D4" s="6"/>
      <c r="E4" s="3"/>
      <c r="F4" s="7"/>
      <c r="G4" s="8">
        <f>SUM(G5:G9)</f>
        <v>3205690</v>
      </c>
    </row>
    <row r="5" spans="1:12" ht="14.45" customHeight="1">
      <c r="A5" s="383"/>
      <c r="B5" s="388" t="s">
        <v>225</v>
      </c>
      <c r="C5" s="388"/>
      <c r="D5" s="6" t="s">
        <v>226</v>
      </c>
      <c r="E5" s="3">
        <f>'[1]Presupuesto.O&amp;M'!C9</f>
        <v>4</v>
      </c>
      <c r="F5" s="7">
        <f>'[1]Presupuesto.O&amp;M'!D9*85%</f>
        <v>595000</v>
      </c>
      <c r="G5" s="7">
        <f>E5*F5</f>
        <v>2380000</v>
      </c>
    </row>
    <row r="6" spans="1:12" ht="14.45" customHeight="1">
      <c r="A6" s="383"/>
      <c r="B6" s="381" t="s">
        <v>227</v>
      </c>
      <c r="C6" s="381"/>
      <c r="D6" s="6" t="s">
        <v>226</v>
      </c>
      <c r="E6" s="3">
        <f>'[1]Presupuesto.O&amp;M'!I10</f>
        <v>8</v>
      </c>
      <c r="F6" s="7">
        <f>'[1]Presupuesto.O&amp;M'!D10*85%</f>
        <v>24225</v>
      </c>
      <c r="G6" s="7">
        <f t="shared" ref="G6:G21" si="0">E6*F6</f>
        <v>193800</v>
      </c>
    </row>
    <row r="7" spans="1:12" ht="14.45" customHeight="1">
      <c r="A7" s="383"/>
      <c r="B7" s="381" t="s">
        <v>228</v>
      </c>
      <c r="C7" s="381"/>
      <c r="D7" s="6" t="s">
        <v>226</v>
      </c>
      <c r="E7" s="3">
        <f>'[1]Presupuesto.O&amp;M'!I11</f>
        <v>12</v>
      </c>
      <c r="F7" s="7">
        <f>'[1]Presupuesto.O&amp;M'!D11*85%</f>
        <v>20825</v>
      </c>
      <c r="G7" s="7">
        <f t="shared" si="0"/>
        <v>249900</v>
      </c>
    </row>
    <row r="8" spans="1:12" ht="14.45" customHeight="1">
      <c r="A8" s="383"/>
      <c r="B8" s="381" t="s">
        <v>229</v>
      </c>
      <c r="C8" s="381"/>
      <c r="D8" s="6" t="s">
        <v>226</v>
      </c>
      <c r="E8" s="3">
        <f>'[1]Presupuesto.O&amp;M'!I12</f>
        <v>7</v>
      </c>
      <c r="F8" s="7">
        <f>'[1]Presupuesto.O&amp;M'!D12*85%</f>
        <v>8500</v>
      </c>
      <c r="G8" s="7">
        <f t="shared" si="0"/>
        <v>59500</v>
      </c>
    </row>
    <row r="9" spans="1:12" ht="14.45" customHeight="1">
      <c r="A9" s="383"/>
      <c r="B9" s="381" t="s">
        <v>230</v>
      </c>
      <c r="C9" s="381"/>
      <c r="D9" s="6" t="s">
        <v>226</v>
      </c>
      <c r="E9" s="3">
        <f>'[1]Presupuesto.O&amp;M'!I13</f>
        <v>2</v>
      </c>
      <c r="F9" s="7">
        <f>'[1]Presupuesto.O&amp;M'!D13*85%</f>
        <v>161245</v>
      </c>
      <c r="G9" s="7">
        <f t="shared" si="0"/>
        <v>322490</v>
      </c>
    </row>
    <row r="10" spans="1:12" ht="14.45" customHeight="1">
      <c r="A10" s="383"/>
      <c r="B10" s="387" t="s">
        <v>231</v>
      </c>
      <c r="C10" s="387"/>
      <c r="D10" s="6"/>
      <c r="E10" s="3"/>
      <c r="F10" s="7"/>
      <c r="G10" s="8">
        <f>SUM(G11:G21)</f>
        <v>782708.9</v>
      </c>
    </row>
    <row r="11" spans="1:12" ht="14.45" customHeight="1">
      <c r="A11" s="383"/>
      <c r="B11" s="381" t="s">
        <v>232</v>
      </c>
      <c r="C11" s="381"/>
      <c r="D11" s="6" t="s">
        <v>226</v>
      </c>
      <c r="E11" s="3">
        <f>'[1]Presupuesto.O&amp;M'!I16</f>
        <v>2</v>
      </c>
      <c r="F11" s="7">
        <f>'[1]Presupuesto.O&amp;M'!D16*85%</f>
        <v>290178.95</v>
      </c>
      <c r="G11" s="7">
        <f t="shared" si="0"/>
        <v>580357.9</v>
      </c>
    </row>
    <row r="12" spans="1:12" ht="14.45" customHeight="1">
      <c r="A12" s="383"/>
      <c r="B12" s="381" t="s">
        <v>233</v>
      </c>
      <c r="C12" s="381"/>
      <c r="D12" s="6" t="s">
        <v>226</v>
      </c>
      <c r="E12" s="3">
        <f>'[1]Presupuesto.O&amp;M'!I17</f>
        <v>5</v>
      </c>
      <c r="F12" s="7">
        <f>'[1]Presupuesto.O&amp;M'!D17*85%</f>
        <v>5695</v>
      </c>
      <c r="G12" s="7">
        <f t="shared" si="0"/>
        <v>28475</v>
      </c>
    </row>
    <row r="13" spans="1:12" ht="14.45" customHeight="1">
      <c r="A13" s="383"/>
      <c r="B13" s="381" t="s">
        <v>234</v>
      </c>
      <c r="C13" s="381"/>
      <c r="D13" s="6" t="s">
        <v>226</v>
      </c>
      <c r="E13" s="3">
        <f>'[1]Presupuesto.O&amp;M'!I18</f>
        <v>4</v>
      </c>
      <c r="F13" s="7">
        <f>'[1]Presupuesto.O&amp;M'!D18*85%</f>
        <v>2125</v>
      </c>
      <c r="G13" s="7">
        <f t="shared" si="0"/>
        <v>8500</v>
      </c>
    </row>
    <row r="14" spans="1:12" ht="14.45" customHeight="1">
      <c r="A14" s="383"/>
      <c r="B14" s="381" t="s">
        <v>235</v>
      </c>
      <c r="C14" s="381"/>
      <c r="D14" s="6" t="s">
        <v>226</v>
      </c>
      <c r="E14" s="3">
        <f>'[1]Presupuesto.O&amp;M'!I19</f>
        <v>4</v>
      </c>
      <c r="F14" s="7">
        <f>'[1]Presupuesto.O&amp;M'!D19*85%</f>
        <v>1147.5</v>
      </c>
      <c r="G14" s="7">
        <f t="shared" si="0"/>
        <v>4590</v>
      </c>
    </row>
    <row r="15" spans="1:12" ht="14.45" customHeight="1">
      <c r="A15" s="383"/>
      <c r="B15" s="381" t="s">
        <v>236</v>
      </c>
      <c r="C15" s="381"/>
      <c r="D15" s="6" t="s">
        <v>226</v>
      </c>
      <c r="E15" s="3">
        <f>'[1]Presupuesto.O&amp;M'!I20</f>
        <v>5</v>
      </c>
      <c r="F15" s="7">
        <f>'[1]Presupuesto.O&amp;M'!D20*85%</f>
        <v>2295</v>
      </c>
      <c r="G15" s="7">
        <f t="shared" si="0"/>
        <v>11475</v>
      </c>
    </row>
    <row r="16" spans="1:12" ht="14.45" customHeight="1">
      <c r="A16" s="383"/>
      <c r="B16" s="381" t="s">
        <v>237</v>
      </c>
      <c r="C16" s="381"/>
      <c r="D16" s="6" t="s">
        <v>226</v>
      </c>
      <c r="E16" s="3">
        <f>'[1]Presupuesto.O&amp;M'!I21</f>
        <v>7</v>
      </c>
      <c r="F16" s="7">
        <f>'[1]Presupuesto.O&amp;M'!D21*85%</f>
        <v>10200</v>
      </c>
      <c r="G16" s="7">
        <f t="shared" si="0"/>
        <v>71400</v>
      </c>
      <c r="J16" s="276"/>
      <c r="K16" s="276"/>
      <c r="L16" s="276"/>
    </row>
    <row r="17" spans="1:12" ht="14.45" customHeight="1">
      <c r="A17" s="383"/>
      <c r="B17" s="381" t="s">
        <v>238</v>
      </c>
      <c r="C17" s="381"/>
      <c r="D17" s="6" t="s">
        <v>226</v>
      </c>
      <c r="E17" s="3">
        <f>'[1]Presupuesto.O&amp;M'!I22</f>
        <v>5</v>
      </c>
      <c r="F17" s="7">
        <f>'[1]Presupuesto.O&amp;M'!D22*85%</f>
        <v>5100</v>
      </c>
      <c r="G17" s="7">
        <f t="shared" si="0"/>
        <v>25500</v>
      </c>
      <c r="J17" s="276"/>
      <c r="K17" s="276"/>
      <c r="L17" s="276"/>
    </row>
    <row r="18" spans="1:12" ht="14.45" customHeight="1">
      <c r="A18" s="383"/>
      <c r="B18" s="381" t="s">
        <v>239</v>
      </c>
      <c r="C18" s="381"/>
      <c r="D18" s="6" t="s">
        <v>226</v>
      </c>
      <c r="E18" s="3">
        <f>'[1]Presupuesto.O&amp;M'!I23</f>
        <v>4</v>
      </c>
      <c r="F18" s="7">
        <f>'[1]Presupuesto.O&amp;M'!D23*85%</f>
        <v>1402.5</v>
      </c>
      <c r="G18" s="7">
        <f t="shared" si="0"/>
        <v>5610</v>
      </c>
      <c r="J18" s="276"/>
      <c r="K18" s="276"/>
      <c r="L18" s="276"/>
    </row>
    <row r="19" spans="1:12" ht="14.45" customHeight="1">
      <c r="A19" s="383"/>
      <c r="B19" s="381" t="s">
        <v>240</v>
      </c>
      <c r="C19" s="381"/>
      <c r="D19" s="6" t="s">
        <v>226</v>
      </c>
      <c r="E19" s="3">
        <f>'[1]Presupuesto.O&amp;M'!I24</f>
        <v>4</v>
      </c>
      <c r="F19" s="7">
        <f>'[1]Presupuesto.O&amp;M'!D24*85%</f>
        <v>8364</v>
      </c>
      <c r="G19" s="7">
        <f t="shared" si="0"/>
        <v>33456</v>
      </c>
      <c r="J19" s="276"/>
      <c r="K19" s="276"/>
      <c r="L19" s="276"/>
    </row>
    <row r="20" spans="1:12" ht="14.45" customHeight="1">
      <c r="A20" s="383"/>
      <c r="B20" s="381" t="s">
        <v>241</v>
      </c>
      <c r="C20" s="381"/>
      <c r="D20" s="6" t="s">
        <v>226</v>
      </c>
      <c r="E20" s="3">
        <f>'[1]Presupuesto.O&amp;M'!I25</f>
        <v>5</v>
      </c>
      <c r="F20" s="7">
        <f>'[1]Presupuesto.O&amp;M'!D25*85%</f>
        <v>2125</v>
      </c>
      <c r="G20" s="7">
        <f t="shared" si="0"/>
        <v>10625</v>
      </c>
      <c r="J20" s="276"/>
      <c r="K20" s="276"/>
      <c r="L20" s="276"/>
    </row>
    <row r="21" spans="1:12" ht="14.45" customHeight="1">
      <c r="A21" s="383"/>
      <c r="B21" s="381" t="s">
        <v>242</v>
      </c>
      <c r="C21" s="381"/>
      <c r="D21" s="6" t="s">
        <v>226</v>
      </c>
      <c r="E21" s="3">
        <f>'[1]Presupuesto.O&amp;M'!I26</f>
        <v>4</v>
      </c>
      <c r="F21" s="7">
        <f>'[1]Presupuesto.O&amp;M'!D26*85%</f>
        <v>680</v>
      </c>
      <c r="G21" s="7">
        <f t="shared" si="0"/>
        <v>2720</v>
      </c>
      <c r="J21" s="276"/>
      <c r="K21" s="276"/>
      <c r="L21" s="276"/>
    </row>
    <row r="22" spans="1:12" ht="14.45" customHeight="1">
      <c r="A22" s="383"/>
      <c r="B22" s="387" t="s">
        <v>243</v>
      </c>
      <c r="C22" s="387"/>
      <c r="D22" s="6"/>
      <c r="E22" s="3"/>
      <c r="F22" s="7"/>
      <c r="G22" s="8">
        <f>SUM(G23:G32)</f>
        <v>455748.75</v>
      </c>
      <c r="J22" s="276"/>
      <c r="K22" s="276"/>
      <c r="L22" s="276"/>
    </row>
    <row r="23" spans="1:12" ht="14.45" customHeight="1">
      <c r="A23" s="383"/>
      <c r="B23" s="381" t="s">
        <v>244</v>
      </c>
      <c r="C23" s="381"/>
      <c r="D23" s="6" t="s">
        <v>226</v>
      </c>
      <c r="E23" s="3">
        <f>'[1]Presupuesto.O&amp;M'!I34</f>
        <v>50</v>
      </c>
      <c r="F23" s="9">
        <f>'[1]Presupuesto.O&amp;M'!D34*85%</f>
        <v>127.5</v>
      </c>
      <c r="G23" s="7">
        <f>E23*F23</f>
        <v>6375</v>
      </c>
      <c r="J23" s="276"/>
      <c r="K23" s="276"/>
      <c r="L23" s="276"/>
    </row>
    <row r="24" spans="1:12" ht="14.45" customHeight="1">
      <c r="A24" s="383"/>
      <c r="B24" s="381" t="s">
        <v>245</v>
      </c>
      <c r="C24" s="381"/>
      <c r="D24" s="6" t="s">
        <v>226</v>
      </c>
      <c r="E24" s="3">
        <f>'[1]Presupuesto.O&amp;M'!I35</f>
        <v>200</v>
      </c>
      <c r="F24" s="9">
        <f>'[1]Presupuesto.O&amp;M'!D35*85%</f>
        <v>412.25</v>
      </c>
      <c r="G24" s="7">
        <f>E24*F24</f>
        <v>82450</v>
      </c>
      <c r="J24" s="276"/>
      <c r="K24" s="276"/>
      <c r="L24" s="276"/>
    </row>
    <row r="25" spans="1:12" ht="14.45" customHeight="1">
      <c r="A25" s="383"/>
      <c r="B25" s="381" t="s">
        <v>235</v>
      </c>
      <c r="C25" s="381"/>
      <c r="D25" s="6" t="s">
        <v>226</v>
      </c>
      <c r="E25" s="3">
        <f>'[1]Presupuesto.O&amp;M'!I36</f>
        <v>200</v>
      </c>
      <c r="F25" s="9">
        <f>'[1]Presupuesto.O&amp;M'!D36*85%</f>
        <v>170</v>
      </c>
      <c r="G25" s="7">
        <f t="shared" ref="G25:G32" si="1">E25*F25</f>
        <v>34000</v>
      </c>
      <c r="J25" s="276"/>
      <c r="K25" s="276"/>
      <c r="L25" s="276"/>
    </row>
    <row r="26" spans="1:12" ht="14.45" customHeight="1">
      <c r="A26" s="383"/>
      <c r="B26" s="381" t="s">
        <v>246</v>
      </c>
      <c r="C26" s="381"/>
      <c r="D26" s="6" t="s">
        <v>226</v>
      </c>
      <c r="E26" s="3">
        <f>'[1]Presupuesto.O&amp;M'!I37</f>
        <v>300</v>
      </c>
      <c r="F26" s="9">
        <f>'[1]Presupuesto.O&amp;M'!D37*85%</f>
        <v>255</v>
      </c>
      <c r="G26" s="7">
        <f t="shared" si="1"/>
        <v>76500</v>
      </c>
      <c r="J26" s="276"/>
      <c r="K26" s="276"/>
      <c r="L26" s="276"/>
    </row>
    <row r="27" spans="1:12" ht="14.45" customHeight="1">
      <c r="A27" s="383"/>
      <c r="B27" s="381" t="s">
        <v>247</v>
      </c>
      <c r="C27" s="381"/>
      <c r="D27" s="6" t="s">
        <v>226</v>
      </c>
      <c r="E27" s="3">
        <f>'[1]Presupuesto.O&amp;M'!I38</f>
        <v>200</v>
      </c>
      <c r="F27" s="9">
        <f>'[1]Presupuesto.O&amp;M'!D38*85%</f>
        <v>243.1</v>
      </c>
      <c r="G27" s="7">
        <f t="shared" si="1"/>
        <v>48620</v>
      </c>
      <c r="J27" s="276"/>
      <c r="K27" s="276"/>
      <c r="L27" s="276"/>
    </row>
    <row r="28" spans="1:12" ht="14.45" customHeight="1">
      <c r="A28" s="383"/>
      <c r="B28" s="381" t="s">
        <v>248</v>
      </c>
      <c r="C28" s="381"/>
      <c r="D28" s="6" t="s">
        <v>226</v>
      </c>
      <c r="E28" s="3">
        <f>'[1]Presupuesto.O&amp;M'!I39</f>
        <v>100</v>
      </c>
      <c r="F28" s="9">
        <f>'[1]Presupuesto.O&amp;M'!D39*85%</f>
        <v>345.09999999999997</v>
      </c>
      <c r="G28" s="7">
        <f t="shared" si="1"/>
        <v>34510</v>
      </c>
      <c r="J28" s="276"/>
      <c r="K28" s="276"/>
      <c r="L28" s="276"/>
    </row>
    <row r="29" spans="1:12" ht="14.45" customHeight="1">
      <c r="A29" s="383"/>
      <c r="B29" s="381" t="s">
        <v>249</v>
      </c>
      <c r="C29" s="381"/>
      <c r="D29" s="6" t="s">
        <v>226</v>
      </c>
      <c r="E29" s="3">
        <f>'[1]Presupuesto.O&amp;M'!I40</f>
        <v>100</v>
      </c>
      <c r="F29" s="9">
        <f>'[1]Presupuesto.O&amp;M'!D40*85%</f>
        <v>63.75</v>
      </c>
      <c r="G29" s="7">
        <f t="shared" si="1"/>
        <v>6375</v>
      </c>
      <c r="J29" s="276"/>
      <c r="K29" s="276"/>
      <c r="L29" s="276"/>
    </row>
    <row r="30" spans="1:12" ht="14.45" customHeight="1">
      <c r="A30" s="383"/>
      <c r="B30" s="381" t="s">
        <v>250</v>
      </c>
      <c r="C30" s="381"/>
      <c r="D30" s="6" t="s">
        <v>226</v>
      </c>
      <c r="E30" s="3">
        <f>'[1]Presupuesto.O&amp;M'!I41</f>
        <v>125</v>
      </c>
      <c r="F30" s="9">
        <f>'[1]Presupuesto.O&amp;M'!D41*85%</f>
        <v>437.75</v>
      </c>
      <c r="G30" s="7">
        <f t="shared" si="1"/>
        <v>54718.75</v>
      </c>
      <c r="J30" s="276"/>
      <c r="K30" s="276"/>
      <c r="L30" s="276"/>
    </row>
    <row r="31" spans="1:12" ht="14.45" customHeight="1">
      <c r="A31" s="383"/>
      <c r="B31" s="381" t="s">
        <v>251</v>
      </c>
      <c r="C31" s="381"/>
      <c r="D31" s="6" t="s">
        <v>226</v>
      </c>
      <c r="E31" s="3">
        <f>'[1]Presupuesto.O&amp;M'!I42</f>
        <v>300</v>
      </c>
      <c r="F31" s="9">
        <f>'[1]Presupuesto.O&amp;M'!D42*85%</f>
        <v>246.5</v>
      </c>
      <c r="G31" s="7">
        <f t="shared" si="1"/>
        <v>73950</v>
      </c>
      <c r="J31" s="276"/>
      <c r="K31" s="276"/>
      <c r="L31" s="276"/>
    </row>
    <row r="32" spans="1:12" ht="14.45" customHeight="1">
      <c r="A32" s="383"/>
      <c r="B32" s="381" t="s">
        <v>252</v>
      </c>
      <c r="C32" s="381"/>
      <c r="D32" s="6" t="s">
        <v>226</v>
      </c>
      <c r="E32" s="3">
        <f>'[1]Presupuesto.O&amp;M'!I43</f>
        <v>200</v>
      </c>
      <c r="F32" s="9">
        <f>'[1]Presupuesto.O&amp;M'!D43*85%</f>
        <v>191.25</v>
      </c>
      <c r="G32" s="7">
        <f t="shared" si="1"/>
        <v>38250</v>
      </c>
      <c r="J32" s="276"/>
      <c r="K32" s="276"/>
      <c r="L32" s="276"/>
    </row>
    <row r="33" spans="1:12" ht="29.1">
      <c r="A33" s="382" t="s">
        <v>16</v>
      </c>
      <c r="B33" s="382"/>
      <c r="C33" s="382"/>
      <c r="D33" s="1" t="s">
        <v>220</v>
      </c>
      <c r="E33" s="1" t="s">
        <v>221</v>
      </c>
      <c r="F33" s="1" t="s">
        <v>222</v>
      </c>
      <c r="G33" s="1" t="s">
        <v>223</v>
      </c>
      <c r="J33" s="276"/>
      <c r="K33" s="276"/>
      <c r="L33" s="276"/>
    </row>
    <row r="34" spans="1:12" ht="32.1" customHeight="1">
      <c r="A34" s="378" t="s">
        <v>26</v>
      </c>
      <c r="B34" s="386" t="s">
        <v>253</v>
      </c>
      <c r="C34" s="386"/>
      <c r="D34" s="2"/>
      <c r="E34" s="3"/>
      <c r="F34" s="4"/>
      <c r="G34" s="5">
        <f>G41+G59+G71</f>
        <v>716911.41394880577</v>
      </c>
      <c r="H34" s="149"/>
      <c r="I34" s="149"/>
      <c r="J34" s="276"/>
      <c r="K34" s="276"/>
      <c r="L34" s="276"/>
    </row>
    <row r="35" spans="1:12" ht="32.25" customHeight="1">
      <c r="A35" s="379"/>
      <c r="B35" s="396" t="s">
        <v>254</v>
      </c>
      <c r="C35" s="397"/>
      <c r="D35" s="19"/>
      <c r="E35" s="3"/>
      <c r="F35" s="9"/>
      <c r="G35" s="5"/>
      <c r="J35" s="276"/>
      <c r="K35" s="276"/>
      <c r="L35" s="276"/>
    </row>
    <row r="36" spans="1:12" ht="14.45" customHeight="1">
      <c r="A36" s="379"/>
      <c r="B36" s="389" t="s">
        <v>255</v>
      </c>
      <c r="C36" s="390"/>
      <c r="D36" s="19" t="s">
        <v>256</v>
      </c>
      <c r="E36" s="3">
        <v>7</v>
      </c>
      <c r="F36" s="9">
        <f>[4]Hoja1!G10*('1.Detailed budget'!$O$3/('1.Detailed budget'!$O$3+'1.Detailed budget'!$O$20))/7</f>
        <v>43621.255847997083</v>
      </c>
      <c r="G36" s="7">
        <f t="shared" ref="G36:G41" si="2">E36*F36</f>
        <v>305348.79093597957</v>
      </c>
      <c r="J36" s="276"/>
      <c r="K36" s="276"/>
      <c r="L36" s="276"/>
    </row>
    <row r="37" spans="1:12" ht="14.45" customHeight="1">
      <c r="A37" s="379"/>
      <c r="B37" s="389" t="s">
        <v>257</v>
      </c>
      <c r="C37" s="390"/>
      <c r="D37" s="19" t="s">
        <v>256</v>
      </c>
      <c r="E37" s="3">
        <v>7</v>
      </c>
      <c r="F37" s="9">
        <f>[4]Hoja1!G11*('1.Detailed budget'!$O$3/('1.Detailed budget'!$O$3+'1.Detailed budget'!$O$20))/7</f>
        <v>6216.0289583395843</v>
      </c>
      <c r="G37" s="7">
        <f t="shared" si="2"/>
        <v>43512.202708377088</v>
      </c>
      <c r="J37" s="276"/>
      <c r="K37" s="276"/>
      <c r="L37" s="276"/>
    </row>
    <row r="38" spans="1:12" ht="14.45" customHeight="1">
      <c r="A38" s="379"/>
      <c r="B38" s="389" t="s">
        <v>258</v>
      </c>
      <c r="C38" s="390"/>
      <c r="D38" s="19" t="s">
        <v>256</v>
      </c>
      <c r="E38" s="3">
        <v>7</v>
      </c>
      <c r="F38" s="9">
        <f>[4]Hoja1!G12*('1.Detailed budget'!$O$3/('1.Detailed budget'!$O$3+'1.Detailed budget'!$O$20))/7</f>
        <v>5343.6038413796423</v>
      </c>
      <c r="G38" s="7">
        <f t="shared" si="2"/>
        <v>37405.226889657497</v>
      </c>
      <c r="J38" s="276"/>
      <c r="K38" s="276"/>
      <c r="L38" s="276"/>
    </row>
    <row r="39" spans="1:12" ht="14.45" customHeight="1">
      <c r="A39" s="379"/>
      <c r="B39" s="389" t="s">
        <v>259</v>
      </c>
      <c r="C39" s="390"/>
      <c r="D39" s="19" t="s">
        <v>256</v>
      </c>
      <c r="E39" s="3">
        <v>7</v>
      </c>
      <c r="F39" s="9">
        <f>[4]Hoja1!G13*('1.Detailed budget'!$O$3/('1.Detailed budget'!$O$3+'1.Detailed budget'!$O$20))/7</f>
        <v>1090.531396199927</v>
      </c>
      <c r="G39" s="7">
        <f t="shared" si="2"/>
        <v>7633.719773399489</v>
      </c>
      <c r="J39" s="276"/>
      <c r="K39" s="276"/>
      <c r="L39" s="276"/>
    </row>
    <row r="40" spans="1:12" ht="14.45" customHeight="1">
      <c r="A40" s="379"/>
      <c r="B40" s="389" t="s">
        <v>260</v>
      </c>
      <c r="C40" s="390"/>
      <c r="D40" s="19" t="s">
        <v>256</v>
      </c>
      <c r="E40" s="3">
        <v>7</v>
      </c>
      <c r="F40" s="9">
        <f>[4]Hoja1!G14*('1.Detailed budget'!$O$3/('1.Detailed budget'!$O$3+'1.Detailed budget'!$O$20))/7</f>
        <v>11821.360334807208</v>
      </c>
      <c r="G40" s="7">
        <f t="shared" si="2"/>
        <v>82749.52234365046</v>
      </c>
      <c r="J40" s="276"/>
      <c r="K40" s="276"/>
      <c r="L40" s="276"/>
    </row>
    <row r="41" spans="1:12">
      <c r="A41" s="379"/>
      <c r="B41" s="376" t="s">
        <v>261</v>
      </c>
      <c r="C41" s="377"/>
      <c r="D41" s="314" t="s">
        <v>256</v>
      </c>
      <c r="E41" s="147">
        <v>7</v>
      </c>
      <c r="F41" s="315">
        <f>[4]Hoja1!G15*('1.Detailed budget'!$O$3/('1.Detailed budget'!$O$3+'1.Detailed budget'!$O$20))/7</f>
        <v>68092.780378723444</v>
      </c>
      <c r="G41" s="148">
        <f t="shared" si="2"/>
        <v>476649.4626510641</v>
      </c>
      <c r="J41" s="276"/>
      <c r="K41" s="276"/>
      <c r="L41" s="276"/>
    </row>
    <row r="42" spans="1:12" ht="36.75" customHeight="1">
      <c r="A42" s="379"/>
      <c r="B42" s="381" t="s">
        <v>262</v>
      </c>
      <c r="C42" s="381"/>
      <c r="D42" s="309"/>
      <c r="E42" s="3"/>
      <c r="F42" s="9"/>
      <c r="G42" s="7"/>
      <c r="J42" s="276"/>
      <c r="K42" s="276"/>
      <c r="L42" s="276"/>
    </row>
    <row r="43" spans="1:12" ht="14.45" customHeight="1">
      <c r="A43" s="379"/>
      <c r="B43" s="374" t="s">
        <v>232</v>
      </c>
      <c r="C43" s="375"/>
      <c r="D43" s="309" t="s">
        <v>256</v>
      </c>
      <c r="E43" s="3">
        <v>7</v>
      </c>
      <c r="F43" s="9">
        <f>[4]Hoja1!G17*('1.Detailed budget'!$O$3/('1.Detailed budget'!$O$3+'1.Detailed budget'!$O$20))/7</f>
        <v>10636.949764414412</v>
      </c>
      <c r="G43" s="7">
        <f>E43*F43</f>
        <v>74458.648350900883</v>
      </c>
      <c r="J43" s="276"/>
      <c r="K43" s="276"/>
      <c r="L43" s="276"/>
    </row>
    <row r="44" spans="1:12" ht="14.45" customHeight="1">
      <c r="A44" s="379"/>
      <c r="B44" s="374" t="s">
        <v>263</v>
      </c>
      <c r="C44" s="375"/>
      <c r="D44" s="309" t="s">
        <v>256</v>
      </c>
      <c r="E44" s="3">
        <v>7</v>
      </c>
      <c r="F44" s="9">
        <f>[4]Hoja1!G18*('1.Detailed budget'!$O$3/('1.Detailed budget'!$O$3+'1.Detailed budget'!$O$20))/7</f>
        <v>835.03546909022975</v>
      </c>
      <c r="G44" s="7">
        <f t="shared" ref="G44:G58" si="3">E44*F44</f>
        <v>5845.2482836316085</v>
      </c>
      <c r="J44" s="276"/>
      <c r="K44" s="276"/>
      <c r="L44" s="276"/>
    </row>
    <row r="45" spans="1:12" ht="14.45" customHeight="1">
      <c r="A45" s="379"/>
      <c r="B45" s="374" t="s">
        <v>264</v>
      </c>
      <c r="C45" s="375"/>
      <c r="D45" s="309" t="s">
        <v>256</v>
      </c>
      <c r="E45" s="3">
        <v>7</v>
      </c>
      <c r="F45" s="9">
        <f>[4]Hoja1!G19*('1.Detailed budget'!$O$3/('1.Detailed budget'!$O$3+'1.Detailed budget'!$O$20))/7</f>
        <v>272.63284904998176</v>
      </c>
      <c r="G45" s="7">
        <f t="shared" si="3"/>
        <v>1908.4299433498722</v>
      </c>
      <c r="J45" s="276"/>
      <c r="K45" s="276"/>
      <c r="L45" s="276"/>
    </row>
    <row r="46" spans="1:12" ht="14.45" customHeight="1">
      <c r="A46" s="379"/>
      <c r="B46" s="374" t="s">
        <v>265</v>
      </c>
      <c r="C46" s="375"/>
      <c r="D46" s="309" t="s">
        <v>256</v>
      </c>
      <c r="E46" s="3">
        <v>7</v>
      </c>
      <c r="F46" s="9">
        <f>[4]Hoja1!G20*('1.Detailed budget'!$O$3/('1.Detailed budget'!$O$3+'1.Detailed budget'!$O$20))/7</f>
        <v>126.19006156027727</v>
      </c>
      <c r="G46" s="7">
        <f t="shared" si="3"/>
        <v>883.33043092194089</v>
      </c>
      <c r="J46" s="276"/>
      <c r="K46" s="276"/>
      <c r="L46" s="276"/>
    </row>
    <row r="47" spans="1:12" ht="14.45" customHeight="1">
      <c r="A47" s="379"/>
      <c r="B47" s="374" t="s">
        <v>266</v>
      </c>
      <c r="C47" s="375"/>
      <c r="D47" s="309" t="s">
        <v>256</v>
      </c>
      <c r="E47" s="3">
        <v>7</v>
      </c>
      <c r="F47" s="9">
        <f>[4]Hoja1!G21*('1.Detailed budget'!$O$3/('1.Detailed budget'!$O$3+'1.Detailed budget'!$O$20))/7</f>
        <v>336.50683082740608</v>
      </c>
      <c r="G47" s="7">
        <f t="shared" si="3"/>
        <v>2355.5478157918424</v>
      </c>
      <c r="J47" s="276"/>
      <c r="K47" s="276"/>
      <c r="L47" s="276"/>
    </row>
    <row r="48" spans="1:12" ht="14.45" customHeight="1">
      <c r="A48" s="379"/>
      <c r="B48" s="374" t="s">
        <v>267</v>
      </c>
      <c r="C48" s="375"/>
      <c r="D48" s="309" t="s">
        <v>256</v>
      </c>
      <c r="E48" s="3">
        <v>7</v>
      </c>
      <c r="F48" s="9">
        <f>[4]Hoja1!G22*('1.Detailed budget'!$O$3/('1.Detailed budget'!$O$3+'1.Detailed budget'!$O$20))/7</f>
        <v>2430.3271115312659</v>
      </c>
      <c r="G48" s="7">
        <f t="shared" si="3"/>
        <v>17012.28978071886</v>
      </c>
      <c r="J48" s="276"/>
      <c r="K48" s="276"/>
      <c r="L48" s="276"/>
    </row>
    <row r="49" spans="1:12" ht="14.45" customHeight="1">
      <c r="A49" s="379"/>
      <c r="B49" s="374" t="s">
        <v>268</v>
      </c>
      <c r="C49" s="375"/>
      <c r="D49" s="309" t="s">
        <v>256</v>
      </c>
      <c r="E49" s="3">
        <v>7</v>
      </c>
      <c r="F49" s="9">
        <f>[4]Hoja1!G23*('1.Detailed budget'!$O$3/('1.Detailed budget'!$O$3+'1.Detailed budget'!$O$20))/7</f>
        <v>841.26707706851516</v>
      </c>
      <c r="G49" s="7">
        <f t="shared" si="3"/>
        <v>5888.8695394796059</v>
      </c>
      <c r="J49" s="276"/>
      <c r="K49" s="276"/>
      <c r="L49" s="276"/>
    </row>
    <row r="50" spans="1:12" ht="14.45" customHeight="1">
      <c r="A50" s="379"/>
      <c r="B50" s="374" t="s">
        <v>269</v>
      </c>
      <c r="C50" s="375"/>
      <c r="D50" s="309" t="s">
        <v>256</v>
      </c>
      <c r="E50" s="3">
        <v>7</v>
      </c>
      <c r="F50" s="9">
        <f>[4]Hoja1!G24*('1.Detailed budget'!$O$3/('1.Detailed budget'!$O$3+'1.Detailed budget'!$O$20))/7</f>
        <v>179.93768037298796</v>
      </c>
      <c r="G50" s="7">
        <f t="shared" si="3"/>
        <v>1259.5637626109158</v>
      </c>
      <c r="J50" s="276"/>
      <c r="K50" s="276"/>
      <c r="L50" s="276"/>
    </row>
    <row r="51" spans="1:12" ht="14.45" customHeight="1">
      <c r="A51" s="379"/>
      <c r="B51" s="374" t="s">
        <v>270</v>
      </c>
      <c r="C51" s="375"/>
      <c r="D51" s="309" t="s">
        <v>256</v>
      </c>
      <c r="E51" s="3">
        <v>7</v>
      </c>
      <c r="F51" s="9">
        <f>[4]Hoja1!G25*('1.Detailed budget'!$O$3/('1.Detailed budget'!$O$3+'1.Detailed budget'!$O$20))/7</f>
        <v>919.78533759490983</v>
      </c>
      <c r="G51" s="7">
        <f t="shared" si="3"/>
        <v>6438.4973631643688</v>
      </c>
      <c r="J51" s="276"/>
      <c r="K51" s="276"/>
      <c r="L51" s="276"/>
    </row>
    <row r="52" spans="1:12" ht="14.45" customHeight="1">
      <c r="A52" s="379"/>
      <c r="B52" s="374" t="s">
        <v>271</v>
      </c>
      <c r="C52" s="375"/>
      <c r="D52" s="309" t="s">
        <v>256</v>
      </c>
      <c r="E52" s="3">
        <v>7</v>
      </c>
      <c r="F52" s="9">
        <f>[4]Hoja1!G26*('1.Detailed budget'!$O$3/('1.Detailed budget'!$O$3+'1.Detailed budget'!$O$20))/7</f>
        <v>311.58039891426489</v>
      </c>
      <c r="G52" s="7">
        <f t="shared" si="3"/>
        <v>2181.0627923998541</v>
      </c>
      <c r="J52" s="276"/>
      <c r="K52" s="276"/>
      <c r="L52" s="276"/>
    </row>
    <row r="53" spans="1:12" ht="14.45" customHeight="1">
      <c r="A53" s="379"/>
      <c r="B53" s="374" t="s">
        <v>272</v>
      </c>
      <c r="C53" s="375"/>
      <c r="D53" s="309" t="s">
        <v>256</v>
      </c>
      <c r="E53" s="3">
        <v>7</v>
      </c>
      <c r="F53" s="9">
        <f>[4]Hoja1!G27*('1.Detailed budget'!$O$3/('1.Detailed budget'!$O$3+'1.Detailed budget'!$O$20))/7</f>
        <v>87.242511695994153</v>
      </c>
      <c r="G53" s="7">
        <f t="shared" si="3"/>
        <v>610.69758187195907</v>
      </c>
      <c r="J53" s="276"/>
      <c r="K53" s="276"/>
      <c r="L53" s="276"/>
    </row>
    <row r="54" spans="1:12" ht="14.45" customHeight="1">
      <c r="A54" s="379"/>
      <c r="B54" s="374" t="s">
        <v>273</v>
      </c>
      <c r="C54" s="375"/>
      <c r="D54" s="309" t="s">
        <v>256</v>
      </c>
      <c r="E54" s="3">
        <v>7</v>
      </c>
      <c r="F54" s="9">
        <f>[4]Hoja1!G28*('1.Detailed budget'!$O$3/('1.Detailed budget'!$O$3+'1.Detailed budget'!$O$20))/7</f>
        <v>479.05486333068222</v>
      </c>
      <c r="G54" s="7">
        <f t="shared" si="3"/>
        <v>3353.3840433147757</v>
      </c>
      <c r="J54" s="276"/>
      <c r="K54" s="276"/>
      <c r="L54" s="276"/>
    </row>
    <row r="55" spans="1:12" ht="14.45" customHeight="1">
      <c r="A55" s="379"/>
      <c r="B55" s="374" t="s">
        <v>274</v>
      </c>
      <c r="C55" s="375"/>
      <c r="D55" s="309" t="s">
        <v>256</v>
      </c>
      <c r="E55" s="3">
        <v>7</v>
      </c>
      <c r="F55" s="9">
        <f>[4]Hoja1!G29*('1.Detailed budget'!$O$3/('1.Detailed budget'!$O$3+'1.Detailed budget'!$O$20))/7</f>
        <v>1639.6918492863188</v>
      </c>
      <c r="G55" s="7">
        <f t="shared" si="3"/>
        <v>11477.842945004231</v>
      </c>
      <c r="J55" s="276"/>
      <c r="K55" s="276"/>
      <c r="L55" s="276"/>
    </row>
    <row r="56" spans="1:12" ht="14.45" customHeight="1">
      <c r="A56" s="379"/>
      <c r="B56" s="374" t="s">
        <v>275</v>
      </c>
      <c r="C56" s="375"/>
      <c r="D56" s="309" t="s">
        <v>256</v>
      </c>
      <c r="E56" s="3">
        <v>7</v>
      </c>
      <c r="F56" s="9">
        <f>[4]Hoja1!G30*('1.Detailed budget'!$O$3/('1.Detailed budget'!$O$3+'1.Detailed budget'!$O$20))/7</f>
        <v>1705.9026840556</v>
      </c>
      <c r="G56" s="7">
        <f t="shared" si="3"/>
        <v>11941.318788389201</v>
      </c>
      <c r="J56" s="276"/>
      <c r="K56" s="276"/>
      <c r="L56" s="276"/>
    </row>
    <row r="57" spans="1:12" ht="14.45" customHeight="1">
      <c r="A57" s="379"/>
      <c r="B57" s="374" t="s">
        <v>276</v>
      </c>
      <c r="C57" s="375"/>
      <c r="D57" s="309" t="s">
        <v>256</v>
      </c>
      <c r="E57" s="3">
        <v>7</v>
      </c>
      <c r="F57" s="9">
        <f>[4]Hoja1!G31*('1.Detailed budget'!$O$3/('1.Detailed budget'!$O$3+'1.Detailed budget'!$O$20))/7</f>
        <v>630.1713568041007</v>
      </c>
      <c r="G57" s="7">
        <f t="shared" si="3"/>
        <v>4411.1994976287051</v>
      </c>
      <c r="J57" s="276"/>
      <c r="K57" s="276"/>
      <c r="L57" s="276"/>
    </row>
    <row r="58" spans="1:12" ht="14.45" customHeight="1">
      <c r="A58" s="379"/>
      <c r="B58" s="374" t="s">
        <v>277</v>
      </c>
      <c r="C58" s="375"/>
      <c r="D58" s="309" t="s">
        <v>256</v>
      </c>
      <c r="E58" s="3">
        <v>7</v>
      </c>
      <c r="F58" s="9">
        <f>[4]Hoja1!G32*('1.Detailed budget'!$O$3/('1.Detailed budget'!$O$3+'1.Detailed budget'!$O$20))/7</f>
        <v>662.1083476928128</v>
      </c>
      <c r="G58" s="7">
        <f t="shared" si="3"/>
        <v>4634.7584338496899</v>
      </c>
      <c r="J58" s="276"/>
      <c r="K58" s="276"/>
      <c r="L58" s="276"/>
    </row>
    <row r="59" spans="1:12" ht="14.45" customHeight="1">
      <c r="A59" s="379"/>
      <c r="B59" s="376" t="s">
        <v>261</v>
      </c>
      <c r="C59" s="377"/>
      <c r="D59" s="316" t="s">
        <v>256</v>
      </c>
      <c r="E59" s="147">
        <v>7</v>
      </c>
      <c r="F59" s="315">
        <f>([2]Hoja1!$G$33/7)*('1.Detailed budget'!O3/('1.Detailed budget'!O3+'1.Detailed budget'!O20))</f>
        <v>22094.384193289759</v>
      </c>
      <c r="G59" s="148">
        <f>E59*F59</f>
        <v>154660.68935302831</v>
      </c>
      <c r="J59" s="276"/>
      <c r="K59" s="276"/>
      <c r="L59" s="276"/>
    </row>
    <row r="60" spans="1:12" ht="29.25" customHeight="1">
      <c r="A60" s="379"/>
      <c r="B60" s="381" t="s">
        <v>278</v>
      </c>
      <c r="C60" s="381"/>
      <c r="D60" s="311"/>
      <c r="E60" s="21"/>
      <c r="F60" s="310"/>
      <c r="G60" s="8"/>
      <c r="J60" s="276"/>
      <c r="K60" s="276"/>
      <c r="L60" s="276"/>
    </row>
    <row r="61" spans="1:12" ht="14.45" customHeight="1">
      <c r="A61" s="379"/>
      <c r="B61" s="374" t="s">
        <v>244</v>
      </c>
      <c r="C61" s="375"/>
      <c r="D61" s="309" t="s">
        <v>256</v>
      </c>
      <c r="E61" s="3">
        <v>7</v>
      </c>
      <c r="F61" s="9">
        <f>[4]Hoja1!G35*('1.Detailed budget'!$O$3/('1.Detailed budget'!$O$3+'1.Detailed budget'!$O$20))/7</f>
        <v>233.68529918569863</v>
      </c>
      <c r="G61" s="7">
        <f>E61*F61</f>
        <v>1635.7970942998904</v>
      </c>
      <c r="J61" s="276"/>
      <c r="K61" s="276"/>
      <c r="L61" s="276"/>
    </row>
    <row r="62" spans="1:12" ht="14.45" customHeight="1">
      <c r="A62" s="379"/>
      <c r="B62" s="374" t="s">
        <v>245</v>
      </c>
      <c r="C62" s="375"/>
      <c r="D62" s="309" t="s">
        <v>256</v>
      </c>
      <c r="E62" s="3">
        <v>7</v>
      </c>
      <c r="F62" s="9">
        <f>[4]Hoja1!G36*('1.Detailed budget'!$O$3/('1.Detailed budget'!$O$3+'1.Detailed budget'!$O$20))/7</f>
        <v>2266.7474021012767</v>
      </c>
      <c r="G62" s="7">
        <f t="shared" ref="G62:G70" si="4">E62*F62</f>
        <v>15867.231814708937</v>
      </c>
      <c r="J62" s="276"/>
      <c r="K62" s="276"/>
      <c r="L62" s="276"/>
    </row>
    <row r="63" spans="1:12" ht="14.45" customHeight="1">
      <c r="A63" s="379"/>
      <c r="B63" s="374" t="s">
        <v>279</v>
      </c>
      <c r="C63" s="375"/>
      <c r="D63" s="309" t="s">
        <v>256</v>
      </c>
      <c r="E63" s="3">
        <v>7</v>
      </c>
      <c r="F63" s="9">
        <f>[4]Hoja1!G37*('1.Detailed budget'!$O$3/('1.Detailed budget'!$O$3+'1.Detailed budget'!$O$20))/7</f>
        <v>934.7411967427945</v>
      </c>
      <c r="G63" s="7">
        <f t="shared" si="4"/>
        <v>6543.1883771995617</v>
      </c>
      <c r="J63" s="276"/>
      <c r="K63" s="276"/>
      <c r="L63" s="276"/>
    </row>
    <row r="64" spans="1:12" ht="14.45" customHeight="1">
      <c r="A64" s="379"/>
      <c r="B64" s="374" t="s">
        <v>280</v>
      </c>
      <c r="C64" s="375"/>
      <c r="D64" s="309" t="s">
        <v>256</v>
      </c>
      <c r="E64" s="3">
        <v>7</v>
      </c>
      <c r="F64" s="9">
        <f>[4]Hoja1!G38*('1.Detailed budget'!$O$3/('1.Detailed budget'!$O$3+'1.Detailed budget'!$O$20))/7</f>
        <v>1869.482393485589</v>
      </c>
      <c r="G64" s="7">
        <f t="shared" si="4"/>
        <v>13086.376754399123</v>
      </c>
      <c r="J64" s="276"/>
      <c r="K64" s="276"/>
      <c r="L64" s="276"/>
    </row>
    <row r="65" spans="1:12" ht="14.45" customHeight="1">
      <c r="A65" s="379"/>
      <c r="B65" s="374" t="s">
        <v>281</v>
      </c>
      <c r="C65" s="375"/>
      <c r="D65" s="309" t="s">
        <v>256</v>
      </c>
      <c r="E65" s="3">
        <v>7</v>
      </c>
      <c r="F65" s="9">
        <f>[4]Hoja1!G39*('1.Detailed budget'!$O$3/('1.Detailed budget'!$O$3+'1.Detailed budget'!$O$20))/7</f>
        <v>1336.6799113421962</v>
      </c>
      <c r="G65" s="7">
        <f t="shared" si="4"/>
        <v>9356.7593793953729</v>
      </c>
      <c r="J65" s="276"/>
      <c r="K65" s="276"/>
      <c r="L65" s="276"/>
    </row>
    <row r="66" spans="1:12" ht="14.45" customHeight="1">
      <c r="A66" s="379"/>
      <c r="B66" s="374" t="s">
        <v>282</v>
      </c>
      <c r="C66" s="375"/>
      <c r="D66" s="309" t="s">
        <v>256</v>
      </c>
      <c r="E66" s="3">
        <v>7</v>
      </c>
      <c r="F66" s="9">
        <f>[4]Hoja1!G40*('1.Detailed budget'!$O$3/('1.Detailed budget'!$O$3+'1.Detailed budget'!$O$20))/7</f>
        <v>948.76231469393656</v>
      </c>
      <c r="G66" s="7">
        <f t="shared" si="4"/>
        <v>6641.3362028575557</v>
      </c>
      <c r="J66" s="276"/>
      <c r="K66" s="276"/>
      <c r="L66" s="276"/>
    </row>
    <row r="67" spans="1:12" ht="14.45" customHeight="1">
      <c r="A67" s="379"/>
      <c r="B67" s="374" t="s">
        <v>283</v>
      </c>
      <c r="C67" s="375"/>
      <c r="D67" s="309" t="s">
        <v>256</v>
      </c>
      <c r="E67" s="3">
        <v>7</v>
      </c>
      <c r="F67" s="9">
        <f>[4]Hoja1!G41*('1.Detailed budget'!$O$3/('1.Detailed budget'!$O$3+'1.Detailed budget'!$O$20))/7</f>
        <v>175.26397438927398</v>
      </c>
      <c r="G67" s="7">
        <f t="shared" si="4"/>
        <v>1226.8478207249179</v>
      </c>
      <c r="J67" s="276"/>
      <c r="K67" s="276"/>
      <c r="L67" s="276"/>
    </row>
    <row r="68" spans="1:12" ht="14.45" customHeight="1">
      <c r="A68" s="379"/>
      <c r="B68" s="374" t="s">
        <v>284</v>
      </c>
      <c r="C68" s="375"/>
      <c r="D68" s="309" t="s">
        <v>256</v>
      </c>
      <c r="E68" s="3">
        <v>7</v>
      </c>
      <c r="F68" s="9">
        <f>[4]Hoja1!G42*('1.Detailed budget'!$O$3/('1.Detailed budget'!$O$3+'1.Detailed budget'!$O$20))/7</f>
        <v>1604.6390544084641</v>
      </c>
      <c r="G68" s="7">
        <f t="shared" si="4"/>
        <v>11232.473380859248</v>
      </c>
      <c r="J68" s="276"/>
      <c r="K68" s="276"/>
      <c r="L68" s="276"/>
    </row>
    <row r="69" spans="1:12" ht="14.45" customHeight="1">
      <c r="A69" s="379"/>
      <c r="B69" s="374" t="s">
        <v>285</v>
      </c>
      <c r="C69" s="375"/>
      <c r="D69" s="309" t="s">
        <v>256</v>
      </c>
      <c r="E69" s="3">
        <v>7</v>
      </c>
      <c r="F69" s="9">
        <f>[4]Hoja1!G43*('1.Detailed budget'!$O$3/('1.Detailed budget'!$O$3+'1.Detailed budget'!$O$20))/7</f>
        <v>1807.166313702736</v>
      </c>
      <c r="G69" s="7">
        <f t="shared" si="4"/>
        <v>12650.164195919153</v>
      </c>
      <c r="J69" s="276"/>
      <c r="K69" s="276"/>
      <c r="L69" s="276"/>
    </row>
    <row r="70" spans="1:12" ht="14.45" customHeight="1">
      <c r="A70" s="379"/>
      <c r="B70" s="374" t="s">
        <v>286</v>
      </c>
      <c r="C70" s="375"/>
      <c r="D70" s="309" t="s">
        <v>256</v>
      </c>
      <c r="E70" s="3">
        <v>7</v>
      </c>
      <c r="F70" s="9">
        <f>[4]Hoja1!G44*('1.Detailed budget'!$O$3/('1.Detailed budget'!$O$3+'1.Detailed budget'!$O$20))/7</f>
        <v>1051.5838463356438</v>
      </c>
      <c r="G70" s="7">
        <f t="shared" si="4"/>
        <v>7361.0869243495063</v>
      </c>
      <c r="J70" s="276"/>
      <c r="K70" s="276"/>
      <c r="L70" s="276"/>
    </row>
    <row r="71" spans="1:12" ht="14.45" customHeight="1">
      <c r="A71" s="380"/>
      <c r="B71" s="376" t="s">
        <v>261</v>
      </c>
      <c r="C71" s="377"/>
      <c r="D71" s="316" t="s">
        <v>256</v>
      </c>
      <c r="E71" s="147">
        <v>7</v>
      </c>
      <c r="F71" s="315">
        <f>([2]Hoja1!$G$47/7)*('1.Detailed budget'!O3/('1.Detailed budget'!O3+'1.Detailed budget'!O20))</f>
        <v>12228.751706387609</v>
      </c>
      <c r="G71" s="148">
        <f>E71*F71</f>
        <v>85601.26194471326</v>
      </c>
      <c r="J71" s="276"/>
      <c r="K71" s="276"/>
      <c r="L71" s="276"/>
    </row>
    <row r="72" spans="1:12" ht="29.1">
      <c r="A72" s="382" t="s">
        <v>16</v>
      </c>
      <c r="B72" s="382"/>
      <c r="C72" s="382"/>
      <c r="D72" s="1" t="s">
        <v>220</v>
      </c>
      <c r="E72" s="1" t="s">
        <v>221</v>
      </c>
      <c r="F72" s="1" t="s">
        <v>222</v>
      </c>
      <c r="G72" s="1" t="s">
        <v>223</v>
      </c>
      <c r="J72" s="276"/>
      <c r="K72" s="276"/>
      <c r="L72" s="276"/>
    </row>
    <row r="73" spans="1:12" ht="69" customHeight="1">
      <c r="A73" s="383" t="s">
        <v>28</v>
      </c>
      <c r="B73" s="384" t="s">
        <v>287</v>
      </c>
      <c r="C73" s="384"/>
      <c r="D73" s="2"/>
      <c r="E73" s="3"/>
      <c r="F73" s="7"/>
      <c r="G73" s="5">
        <f>SUM(G74:G74)</f>
        <v>604070</v>
      </c>
      <c r="H73" s="149"/>
      <c r="I73" s="149"/>
      <c r="J73" s="276"/>
      <c r="K73" s="276"/>
      <c r="L73" s="276"/>
    </row>
    <row r="74" spans="1:12" ht="14.45" customHeight="1">
      <c r="A74" s="383"/>
      <c r="B74" s="391" t="s">
        <v>288</v>
      </c>
      <c r="C74" s="392"/>
      <c r="D74" s="6" t="s">
        <v>289</v>
      </c>
      <c r="E74" s="3">
        <f>'[1]14. Annex M2 MARREG'!G195+'[1]15. Annex M3 MARFOM'!G254</f>
        <v>22523</v>
      </c>
      <c r="F74" s="9">
        <v>26.820139413044444</v>
      </c>
      <c r="G74" s="3">
        <f t="shared" ref="G74" si="5">E74*F74</f>
        <v>604070</v>
      </c>
      <c r="J74" s="276"/>
      <c r="K74" s="276"/>
      <c r="L74" s="276"/>
    </row>
    <row r="75" spans="1:12" ht="29.1">
      <c r="A75" s="382" t="s">
        <v>16</v>
      </c>
      <c r="B75" s="382"/>
      <c r="C75" s="382"/>
      <c r="D75" s="1" t="s">
        <v>220</v>
      </c>
      <c r="E75" s="1" t="s">
        <v>221</v>
      </c>
      <c r="F75" s="1" t="s">
        <v>222</v>
      </c>
      <c r="G75" s="1" t="s">
        <v>223</v>
      </c>
      <c r="J75" s="276"/>
      <c r="K75" s="276"/>
      <c r="L75" s="276"/>
    </row>
    <row r="76" spans="1:12">
      <c r="A76" s="393" t="s">
        <v>30</v>
      </c>
      <c r="B76" s="384" t="s">
        <v>290</v>
      </c>
      <c r="C76" s="384"/>
      <c r="D76" s="2"/>
      <c r="E76" s="3"/>
      <c r="F76" s="7"/>
      <c r="G76" s="5">
        <v>1730773.9379999996</v>
      </c>
      <c r="H76" s="149"/>
      <c r="I76" s="149"/>
      <c r="J76" s="276"/>
      <c r="K76" s="276"/>
      <c r="L76" s="276"/>
    </row>
    <row r="77" spans="1:12" ht="25.5" customHeight="1">
      <c r="A77" s="383"/>
      <c r="B77" s="391" t="s">
        <v>291</v>
      </c>
      <c r="C77" s="392"/>
      <c r="D77" s="6" t="s">
        <v>289</v>
      </c>
      <c r="E77" s="3">
        <v>1745960.0999999999</v>
      </c>
      <c r="F77" s="9">
        <f>G76/E77</f>
        <v>0.99130211394865198</v>
      </c>
      <c r="G77" s="18">
        <f>E77*F77</f>
        <v>1730773.9379999996</v>
      </c>
      <c r="J77" s="276"/>
      <c r="K77" s="276"/>
      <c r="L77" s="276"/>
    </row>
    <row r="78" spans="1:12" ht="29.1">
      <c r="A78" s="382" t="s">
        <v>16</v>
      </c>
      <c r="B78" s="382"/>
      <c r="C78" s="382"/>
      <c r="D78" s="1" t="s">
        <v>220</v>
      </c>
      <c r="E78" s="1" t="s">
        <v>221</v>
      </c>
      <c r="F78" s="1" t="s">
        <v>222</v>
      </c>
      <c r="G78" s="1" t="s">
        <v>223</v>
      </c>
      <c r="J78" s="276"/>
      <c r="K78" s="276"/>
      <c r="L78" s="276"/>
    </row>
    <row r="79" spans="1:12">
      <c r="A79" s="383" t="s">
        <v>32</v>
      </c>
      <c r="B79" s="384" t="s">
        <v>292</v>
      </c>
      <c r="C79" s="384"/>
      <c r="D79" s="2"/>
      <c r="E79" s="3"/>
      <c r="F79" s="4"/>
      <c r="G79" s="5">
        <f>SUM(G80:G81)</f>
        <v>1749692.4120000002</v>
      </c>
      <c r="H79" s="149"/>
      <c r="I79" s="149"/>
      <c r="J79" s="276"/>
      <c r="K79" s="276"/>
      <c r="L79" s="276"/>
    </row>
    <row r="80" spans="1:12">
      <c r="A80" s="383"/>
      <c r="B80" s="381" t="s">
        <v>293</v>
      </c>
      <c r="C80" s="381"/>
      <c r="D80" s="19" t="s">
        <v>294</v>
      </c>
      <c r="E80" s="3">
        <f>'[1]13a. Annex M1 CEDPLA - Riego'!G271+'[1]13b. Annex CEDPLA - Reservorio'!G274</f>
        <v>3451872</v>
      </c>
      <c r="F80" s="9">
        <f>'[1]13a. Annex M1 CEDPLA - Riego'!H271</f>
        <v>0.46800000000000003</v>
      </c>
      <c r="G80" s="7">
        <f>E80*F80</f>
        <v>1615476.0960000001</v>
      </c>
      <c r="J80" s="276"/>
      <c r="K80" s="276"/>
      <c r="L80" s="276"/>
    </row>
    <row r="81" spans="1:12">
      <c r="A81" s="383"/>
      <c r="B81" s="381" t="s">
        <v>295</v>
      </c>
      <c r="C81" s="381"/>
      <c r="D81" s="19" t="s">
        <v>294</v>
      </c>
      <c r="E81" s="3">
        <f>'[1]16a. Annex M4 FRUAGR - Riego  '!G323+'[1]16b. Annex M4 FRUAGR - Reservor'!G320+'[1]16c. Annex M4 FRUAGR - Invierno'!G320</f>
        <v>286787</v>
      </c>
      <c r="F81" s="9">
        <f>'[1]16a. Annex M4 FRUAGR - Riego  '!H323</f>
        <v>0.46800000000000003</v>
      </c>
      <c r="G81" s="7">
        <f t="shared" ref="G81" si="6">E81*F81</f>
        <v>134216.31600000002</v>
      </c>
      <c r="J81" s="276"/>
      <c r="K81" s="276"/>
      <c r="L81" s="276"/>
    </row>
    <row r="82" spans="1:12" ht="29.1">
      <c r="A82" s="382" t="s">
        <v>16</v>
      </c>
      <c r="B82" s="382"/>
      <c r="C82" s="382"/>
      <c r="D82" s="1" t="s">
        <v>220</v>
      </c>
      <c r="E82" s="1" t="s">
        <v>221</v>
      </c>
      <c r="F82" s="1" t="s">
        <v>222</v>
      </c>
      <c r="G82" s="1" t="s">
        <v>223</v>
      </c>
      <c r="J82" s="276"/>
      <c r="K82" s="276"/>
      <c r="L82" s="276"/>
    </row>
    <row r="83" spans="1:12" ht="14.45" customHeight="1">
      <c r="A83" s="383" t="s">
        <v>34</v>
      </c>
      <c r="B83" s="386" t="s">
        <v>296</v>
      </c>
      <c r="C83" s="386"/>
      <c r="D83" s="2"/>
      <c r="E83" s="3"/>
      <c r="F83" s="4"/>
      <c r="G83" s="5">
        <f>SUM(G84:G97)</f>
        <v>117000</v>
      </c>
      <c r="H83" s="149"/>
      <c r="I83" s="149"/>
      <c r="J83" s="276"/>
      <c r="K83" s="276"/>
      <c r="L83" s="276"/>
    </row>
    <row r="84" spans="1:12" ht="14.45" customHeight="1">
      <c r="A84" s="383"/>
      <c r="B84" s="381" t="s">
        <v>297</v>
      </c>
      <c r="C84" s="381"/>
      <c r="D84" s="19" t="s">
        <v>226</v>
      </c>
      <c r="E84" s="3">
        <f>[1]Laboratorio.Suelos!E11</f>
        <v>3</v>
      </c>
      <c r="F84" s="9">
        <f>[1]Laboratorio.Suelos!F11</f>
        <v>500</v>
      </c>
      <c r="G84" s="7">
        <f t="shared" ref="G84:G85" si="7">E84*F84</f>
        <v>1500</v>
      </c>
      <c r="J84" s="276"/>
      <c r="K84" s="276"/>
      <c r="L84" s="276"/>
    </row>
    <row r="85" spans="1:12" ht="14.45" customHeight="1">
      <c r="A85" s="383"/>
      <c r="B85" s="381" t="s">
        <v>298</v>
      </c>
      <c r="C85" s="381"/>
      <c r="D85" s="19" t="s">
        <v>226</v>
      </c>
      <c r="E85" s="3">
        <f>[1]Laboratorio.Suelos!E12</f>
        <v>3</v>
      </c>
      <c r="F85" s="9">
        <f>[1]Laboratorio.Suelos!F12</f>
        <v>800</v>
      </c>
      <c r="G85" s="7">
        <f t="shared" si="7"/>
        <v>2400</v>
      </c>
      <c r="J85" s="276"/>
      <c r="K85" s="276"/>
      <c r="L85" s="276"/>
    </row>
    <row r="86" spans="1:12" ht="14.45" customHeight="1">
      <c r="A86" s="383"/>
      <c r="B86" s="381" t="s">
        <v>299</v>
      </c>
      <c r="C86" s="381"/>
      <c r="D86" s="19" t="s">
        <v>226</v>
      </c>
      <c r="E86" s="3">
        <f>[1]Laboratorio.Suelos!E13</f>
        <v>1</v>
      </c>
      <c r="F86" s="9">
        <f>[1]Laboratorio.Suelos!F13</f>
        <v>1500</v>
      </c>
      <c r="G86" s="7">
        <f>E86*F86</f>
        <v>1500</v>
      </c>
      <c r="J86" s="276"/>
      <c r="K86" s="276"/>
      <c r="L86" s="276"/>
    </row>
    <row r="87" spans="1:12" ht="14.45" customHeight="1">
      <c r="A87" s="383"/>
      <c r="B87" s="381" t="s">
        <v>300</v>
      </c>
      <c r="C87" s="381"/>
      <c r="D87" s="19" t="s">
        <v>226</v>
      </c>
      <c r="E87" s="3">
        <f>[1]Laboratorio.Suelos!E14</f>
        <v>1</v>
      </c>
      <c r="F87" s="9">
        <f>[1]Laboratorio.Suelos!F14</f>
        <v>1000</v>
      </c>
      <c r="G87" s="7">
        <f>E87*F87</f>
        <v>1000</v>
      </c>
      <c r="J87" s="276"/>
      <c r="K87" s="276"/>
      <c r="L87" s="276"/>
    </row>
    <row r="88" spans="1:12" ht="14.45" customHeight="1">
      <c r="A88" s="383"/>
      <c r="B88" s="381" t="s">
        <v>301</v>
      </c>
      <c r="C88" s="381"/>
      <c r="D88" s="19" t="s">
        <v>226</v>
      </c>
      <c r="E88" s="3">
        <f>[1]Laboratorio.Suelos!E15</f>
        <v>1</v>
      </c>
      <c r="F88" s="9">
        <f>[1]Laboratorio.Suelos!F15</f>
        <v>1000</v>
      </c>
      <c r="G88" s="7">
        <f>E88*F88</f>
        <v>1000</v>
      </c>
      <c r="J88" s="276"/>
      <c r="K88" s="276"/>
      <c r="L88" s="276"/>
    </row>
    <row r="89" spans="1:12" ht="14.45" customHeight="1">
      <c r="A89" s="383"/>
      <c r="B89" s="381" t="s">
        <v>302</v>
      </c>
      <c r="C89" s="381"/>
      <c r="D89" s="19" t="s">
        <v>226</v>
      </c>
      <c r="E89" s="3">
        <f>[1]Laboratorio.Suelos!E16</f>
        <v>3</v>
      </c>
      <c r="F89" s="9">
        <f>[1]Laboratorio.Suelos!F16</f>
        <v>7000</v>
      </c>
      <c r="G89" s="7">
        <f>E89*F89</f>
        <v>21000</v>
      </c>
      <c r="J89" s="276"/>
      <c r="K89" s="276"/>
      <c r="L89" s="276"/>
    </row>
    <row r="90" spans="1:12" ht="14.45" customHeight="1">
      <c r="A90" s="383"/>
      <c r="B90" s="381" t="s">
        <v>303</v>
      </c>
      <c r="C90" s="381"/>
      <c r="D90" s="19" t="s">
        <v>226</v>
      </c>
      <c r="E90" s="3">
        <f>[1]Laboratorio.Suelos!E17</f>
        <v>2</v>
      </c>
      <c r="F90" s="9">
        <f>[1]Laboratorio.Suelos!F17</f>
        <v>5000</v>
      </c>
      <c r="G90" s="7">
        <f>E90*F90</f>
        <v>10000</v>
      </c>
      <c r="J90" s="276"/>
      <c r="K90" s="276"/>
      <c r="L90" s="276"/>
    </row>
    <row r="91" spans="1:12" ht="14.45" customHeight="1">
      <c r="A91" s="383"/>
      <c r="B91" s="381" t="s">
        <v>304</v>
      </c>
      <c r="C91" s="381"/>
      <c r="D91" s="19" t="s">
        <v>226</v>
      </c>
      <c r="E91" s="3">
        <f>[1]Laboratorio.Suelos!E18</f>
        <v>2</v>
      </c>
      <c r="F91" s="9">
        <f>[1]Laboratorio.Suelos!F18</f>
        <v>3000</v>
      </c>
      <c r="G91" s="7">
        <f t="shared" ref="G91:G97" si="8">E91*F91</f>
        <v>6000</v>
      </c>
      <c r="J91" s="276"/>
      <c r="K91" s="276"/>
      <c r="L91" s="276"/>
    </row>
    <row r="92" spans="1:12" ht="14.45" customHeight="1">
      <c r="A92" s="383"/>
      <c r="B92" s="381" t="s">
        <v>305</v>
      </c>
      <c r="C92" s="381"/>
      <c r="D92" s="19" t="s">
        <v>226</v>
      </c>
      <c r="E92" s="3">
        <f>[1]Laboratorio.Suelos!E19</f>
        <v>3</v>
      </c>
      <c r="F92" s="9">
        <f>[1]Laboratorio.Suelos!F19</f>
        <v>1800</v>
      </c>
      <c r="G92" s="7">
        <f t="shared" si="8"/>
        <v>5400</v>
      </c>
      <c r="J92" s="276"/>
      <c r="K92" s="276"/>
      <c r="L92" s="276"/>
    </row>
    <row r="93" spans="1:12" ht="14.45" customHeight="1">
      <c r="A93" s="383"/>
      <c r="B93" s="381" t="s">
        <v>306</v>
      </c>
      <c r="C93" s="381"/>
      <c r="D93" s="19" t="s">
        <v>226</v>
      </c>
      <c r="E93" s="3">
        <f>[1]Laboratorio.Suelos!E20</f>
        <v>2</v>
      </c>
      <c r="F93" s="9">
        <f>[1]Laboratorio.Suelos!F20</f>
        <v>500</v>
      </c>
      <c r="G93" s="7">
        <f t="shared" si="8"/>
        <v>1000</v>
      </c>
      <c r="J93" s="276"/>
      <c r="K93" s="276"/>
      <c r="L93" s="276"/>
    </row>
    <row r="94" spans="1:12" ht="14.45" customHeight="1">
      <c r="A94" s="383"/>
      <c r="B94" s="381" t="s">
        <v>307</v>
      </c>
      <c r="C94" s="381"/>
      <c r="D94" s="19" t="s">
        <v>226</v>
      </c>
      <c r="E94" s="3">
        <f>[1]Laboratorio.Suelos!E21</f>
        <v>2</v>
      </c>
      <c r="F94" s="9">
        <f>[1]Laboratorio.Suelos!F21</f>
        <v>1300</v>
      </c>
      <c r="G94" s="7">
        <f t="shared" si="8"/>
        <v>2600</v>
      </c>
      <c r="J94" s="276"/>
      <c r="K94" s="276"/>
      <c r="L94" s="276"/>
    </row>
    <row r="95" spans="1:12" ht="14.45" customHeight="1">
      <c r="A95" s="383"/>
      <c r="B95" s="381" t="s">
        <v>308</v>
      </c>
      <c r="C95" s="381"/>
      <c r="D95" s="19" t="s">
        <v>226</v>
      </c>
      <c r="E95" s="3">
        <f>[1]Laboratorio.Suelos!E22</f>
        <v>3</v>
      </c>
      <c r="F95" s="9">
        <f>[1]Laboratorio.Suelos!F22</f>
        <v>10000</v>
      </c>
      <c r="G95" s="7">
        <f t="shared" si="8"/>
        <v>30000</v>
      </c>
      <c r="J95" s="276"/>
      <c r="K95" s="276"/>
      <c r="L95" s="276"/>
    </row>
    <row r="96" spans="1:12" ht="14.45" customHeight="1">
      <c r="A96" s="383"/>
      <c r="B96" s="381" t="s">
        <v>309</v>
      </c>
      <c r="C96" s="381"/>
      <c r="D96" s="19" t="s">
        <v>226</v>
      </c>
      <c r="E96" s="3">
        <f>[1]Laboratorio.Suelos!E23</f>
        <v>3</v>
      </c>
      <c r="F96" s="9">
        <f>[1]Laboratorio.Suelos!F23</f>
        <v>10000</v>
      </c>
      <c r="G96" s="7">
        <f t="shared" si="8"/>
        <v>30000</v>
      </c>
      <c r="J96" s="276"/>
      <c r="K96" s="276"/>
      <c r="L96" s="276"/>
    </row>
    <row r="97" spans="1:12" ht="14.45" customHeight="1">
      <c r="A97" s="383"/>
      <c r="B97" s="381" t="s">
        <v>310</v>
      </c>
      <c r="C97" s="381"/>
      <c r="D97" s="19" t="s">
        <v>226</v>
      </c>
      <c r="E97" s="3">
        <f>[1]Laboratorio.Suelos!E24</f>
        <v>3</v>
      </c>
      <c r="F97" s="9">
        <f>[1]Laboratorio.Suelos!F24</f>
        <v>1200</v>
      </c>
      <c r="G97" s="7">
        <f t="shared" si="8"/>
        <v>3600</v>
      </c>
      <c r="J97" s="276"/>
      <c r="K97" s="276"/>
      <c r="L97" s="276"/>
    </row>
    <row r="98" spans="1:12" ht="29.1">
      <c r="A98" s="382" t="s">
        <v>16</v>
      </c>
      <c r="B98" s="382"/>
      <c r="C98" s="382"/>
      <c r="D98" s="1" t="s">
        <v>220</v>
      </c>
      <c r="E98" s="1" t="s">
        <v>221</v>
      </c>
      <c r="F98" s="1" t="s">
        <v>222</v>
      </c>
      <c r="G98" s="1" t="s">
        <v>223</v>
      </c>
      <c r="J98" s="276"/>
      <c r="K98" s="276"/>
      <c r="L98" s="276"/>
    </row>
    <row r="99" spans="1:12" ht="14.45" customHeight="1">
      <c r="A99" s="383" t="s">
        <v>36</v>
      </c>
      <c r="B99" s="386" t="s">
        <v>311</v>
      </c>
      <c r="C99" s="386"/>
      <c r="D99" s="2"/>
      <c r="E99" s="3"/>
      <c r="F99" s="4"/>
      <c r="G99" s="5">
        <f>SUM(G100:G115)</f>
        <v>2221747.58</v>
      </c>
      <c r="H99" s="149"/>
      <c r="I99" s="149"/>
      <c r="J99" s="276"/>
      <c r="K99" s="276"/>
      <c r="L99" s="276"/>
    </row>
    <row r="100" spans="1:12" ht="14.45" customHeight="1">
      <c r="A100" s="383"/>
      <c r="B100" s="381" t="s">
        <v>312</v>
      </c>
      <c r="C100" s="381"/>
      <c r="D100" s="19" t="s">
        <v>226</v>
      </c>
      <c r="E100" s="3">
        <f>[1]Viveros.Agroforestales!Q7</f>
        <v>7</v>
      </c>
      <c r="F100" s="9">
        <f>[1]Viveros.Agroforestales!R7</f>
        <v>1500</v>
      </c>
      <c r="G100" s="18">
        <f>E100*F100</f>
        <v>10500</v>
      </c>
      <c r="J100" s="276"/>
      <c r="K100" s="276"/>
      <c r="L100" s="276"/>
    </row>
    <row r="101" spans="1:12" ht="14.45" customHeight="1">
      <c r="A101" s="383"/>
      <c r="B101" s="381" t="s">
        <v>313</v>
      </c>
      <c r="C101" s="381"/>
      <c r="D101" s="19" t="s">
        <v>226</v>
      </c>
      <c r="E101" s="3">
        <f>[1]Viveros.Agroforestales!Q8</f>
        <v>10</v>
      </c>
      <c r="F101" s="9">
        <f>[1]Viveros.Agroforestales!R8</f>
        <v>195.84</v>
      </c>
      <c r="G101" s="18">
        <f t="shared" ref="G101:G115" si="9">E101*F101</f>
        <v>1958.4</v>
      </c>
      <c r="J101" s="276"/>
      <c r="K101" s="276"/>
      <c r="L101" s="276"/>
    </row>
    <row r="102" spans="1:12" ht="14.45" customHeight="1">
      <c r="A102" s="383"/>
      <c r="B102" s="381" t="s">
        <v>314</v>
      </c>
      <c r="C102" s="381"/>
      <c r="D102" s="19" t="s">
        <v>226</v>
      </c>
      <c r="E102" s="3">
        <f>[1]Viveros.Agroforestales!Q9</f>
        <v>10</v>
      </c>
      <c r="F102" s="9">
        <f>[1]Viveros.Agroforestales!R9</f>
        <v>67.930000000000007</v>
      </c>
      <c r="G102" s="18">
        <f t="shared" si="9"/>
        <v>679.30000000000007</v>
      </c>
      <c r="J102" s="276"/>
      <c r="K102" s="276"/>
      <c r="L102" s="276"/>
    </row>
    <row r="103" spans="1:12" ht="14.45" customHeight="1">
      <c r="A103" s="383"/>
      <c r="B103" s="381" t="s">
        <v>315</v>
      </c>
      <c r="C103" s="381"/>
      <c r="D103" s="19" t="s">
        <v>226</v>
      </c>
      <c r="E103" s="3">
        <f>[1]Viveros.Agroforestales!Q10</f>
        <v>7</v>
      </c>
      <c r="F103" s="9">
        <f>[1]Viveros.Agroforestales!R10</f>
        <v>50.38</v>
      </c>
      <c r="G103" s="18">
        <f t="shared" si="9"/>
        <v>352.66</v>
      </c>
      <c r="J103" s="276"/>
      <c r="K103" s="276"/>
      <c r="L103" s="276"/>
    </row>
    <row r="104" spans="1:12" ht="14.45" customHeight="1">
      <c r="A104" s="383"/>
      <c r="B104" s="381" t="s">
        <v>316</v>
      </c>
      <c r="C104" s="381"/>
      <c r="D104" s="19" t="s">
        <v>226</v>
      </c>
      <c r="E104" s="3">
        <f>[1]Viveros.Agroforestales!Q11</f>
        <v>7</v>
      </c>
      <c r="F104" s="9">
        <f>[1]Viveros.Agroforestales!R11</f>
        <v>1500</v>
      </c>
      <c r="G104" s="18">
        <f t="shared" si="9"/>
        <v>10500</v>
      </c>
      <c r="J104" s="276"/>
      <c r="K104" s="276"/>
      <c r="L104" s="276"/>
    </row>
    <row r="105" spans="1:12" ht="14.45" customHeight="1">
      <c r="A105" s="383"/>
      <c r="B105" s="381" t="s">
        <v>317</v>
      </c>
      <c r="C105" s="381"/>
      <c r="D105" s="19" t="s">
        <v>226</v>
      </c>
      <c r="E105" s="3">
        <f>[1]Viveros.Agroforestales!Q12</f>
        <v>10</v>
      </c>
      <c r="F105" s="9">
        <f>[1]Viveros.Agroforestales!R12</f>
        <v>1500</v>
      </c>
      <c r="G105" s="18">
        <f t="shared" si="9"/>
        <v>15000</v>
      </c>
      <c r="J105" s="276"/>
      <c r="K105" s="276"/>
      <c r="L105" s="276"/>
    </row>
    <row r="106" spans="1:12">
      <c r="A106" s="383"/>
      <c r="B106" s="381" t="str">
        <f>[1]Viveros.Agroforestales!C13</f>
        <v xml:space="preserve">UPS </v>
      </c>
      <c r="C106" s="381"/>
      <c r="D106" s="19" t="s">
        <v>226</v>
      </c>
      <c r="E106" s="3">
        <f>[1]Viveros.Agroforestales!Q13</f>
        <v>10</v>
      </c>
      <c r="F106" s="9">
        <f>[1]Viveros.Agroforestales!R13</f>
        <v>61</v>
      </c>
      <c r="G106" s="18">
        <f t="shared" si="9"/>
        <v>610</v>
      </c>
      <c r="J106" s="276"/>
      <c r="K106" s="276"/>
      <c r="L106" s="276"/>
    </row>
    <row r="107" spans="1:12" ht="14.45" customHeight="1">
      <c r="A107" s="383"/>
      <c r="B107" s="381" t="s">
        <v>318</v>
      </c>
      <c r="C107" s="381"/>
      <c r="D107" s="19" t="s">
        <v>226</v>
      </c>
      <c r="E107" s="3">
        <f>[1]Viveros.Agroforestales!Q14</f>
        <v>9</v>
      </c>
      <c r="F107" s="9">
        <f>[1]Viveros.Agroforestales!R14</f>
        <v>80</v>
      </c>
      <c r="G107" s="18">
        <f t="shared" si="9"/>
        <v>720</v>
      </c>
      <c r="J107" s="276"/>
      <c r="K107" s="276"/>
      <c r="L107" s="276"/>
    </row>
    <row r="108" spans="1:12" ht="14.45" customHeight="1">
      <c r="A108" s="383"/>
      <c r="B108" s="381" t="s">
        <v>319</v>
      </c>
      <c r="C108" s="381"/>
      <c r="D108" s="19" t="s">
        <v>226</v>
      </c>
      <c r="E108" s="3">
        <f>[1]Viveros.Agroforestales!Q15</f>
        <v>10</v>
      </c>
      <c r="F108" s="9">
        <f>[1]Viveros.Agroforestales!R15</f>
        <v>20</v>
      </c>
      <c r="G108" s="18">
        <f t="shared" si="9"/>
        <v>200</v>
      </c>
      <c r="J108" s="276"/>
      <c r="K108" s="276"/>
      <c r="L108" s="276"/>
    </row>
    <row r="109" spans="1:12" ht="14.45" customHeight="1">
      <c r="A109" s="383"/>
      <c r="B109" s="381" t="s">
        <v>320</v>
      </c>
      <c r="C109" s="381"/>
      <c r="D109" s="19" t="s">
        <v>226</v>
      </c>
      <c r="E109" s="3">
        <f>[1]Viveros.Agroforestales!Q16</f>
        <v>8</v>
      </c>
      <c r="F109" s="9">
        <f>[1]Viveros.Agroforestales!R16</f>
        <v>514</v>
      </c>
      <c r="G109" s="18">
        <f t="shared" si="9"/>
        <v>4112</v>
      </c>
      <c r="J109" s="276"/>
      <c r="K109" s="276"/>
      <c r="L109" s="276"/>
    </row>
    <row r="110" spans="1:12" ht="14.45" customHeight="1">
      <c r="A110" s="383"/>
      <c r="B110" s="381" t="s">
        <v>321</v>
      </c>
      <c r="C110" s="381"/>
      <c r="D110" s="19" t="s">
        <v>226</v>
      </c>
      <c r="E110" s="3">
        <f>[1]Viveros.Agroforestales!Q17</f>
        <v>3</v>
      </c>
      <c r="F110" s="9">
        <f>[1]Viveros.Agroforestales!R17</f>
        <v>191.74</v>
      </c>
      <c r="G110" s="18">
        <f t="shared" si="9"/>
        <v>575.22</v>
      </c>
      <c r="J110" s="276"/>
      <c r="K110" s="276"/>
      <c r="L110" s="276"/>
    </row>
    <row r="111" spans="1:12" ht="14.45" customHeight="1">
      <c r="A111" s="383"/>
      <c r="B111" s="381" t="s">
        <v>322</v>
      </c>
      <c r="C111" s="381"/>
      <c r="D111" s="19" t="s">
        <v>226</v>
      </c>
      <c r="E111" s="3">
        <f>[1]Viveros.Agroforestales!Q18</f>
        <v>5</v>
      </c>
      <c r="F111" s="9">
        <f>[1]Viveros.Agroforestales!R18</f>
        <v>514</v>
      </c>
      <c r="G111" s="18">
        <f t="shared" si="9"/>
        <v>2570</v>
      </c>
      <c r="J111" s="276"/>
      <c r="K111" s="276"/>
      <c r="L111" s="276"/>
    </row>
    <row r="112" spans="1:12" ht="14.45" customHeight="1">
      <c r="A112" s="383"/>
      <c r="B112" s="381" t="s">
        <v>323</v>
      </c>
      <c r="C112" s="381"/>
      <c r="D112" s="19" t="s">
        <v>226</v>
      </c>
      <c r="E112" s="3">
        <f>[1]Viveros.Agroforestales!Q19</f>
        <v>4</v>
      </c>
      <c r="F112" s="9">
        <f>[1]Viveros.Agroforestales!R19</f>
        <v>100</v>
      </c>
      <c r="G112" s="18">
        <f t="shared" si="9"/>
        <v>400</v>
      </c>
      <c r="J112" s="276"/>
      <c r="K112" s="276"/>
      <c r="L112" s="276"/>
    </row>
    <row r="113" spans="1:12">
      <c r="A113" s="383"/>
      <c r="B113" s="381" t="str">
        <f>[1]Viveros.Agroforestales!C20</f>
        <v>GPS</v>
      </c>
      <c r="C113" s="381"/>
      <c r="D113" s="19" t="s">
        <v>226</v>
      </c>
      <c r="E113" s="3">
        <f>[1]Viveros.Agroforestales!Q20</f>
        <v>10</v>
      </c>
      <c r="F113" s="9">
        <f>[1]Viveros.Agroforestales!R20</f>
        <v>700</v>
      </c>
      <c r="G113" s="18">
        <f t="shared" si="9"/>
        <v>7000</v>
      </c>
      <c r="J113" s="276"/>
      <c r="K113" s="276"/>
      <c r="L113" s="276"/>
    </row>
    <row r="114" spans="1:12" ht="14.45" customHeight="1">
      <c r="A114" s="383"/>
      <c r="B114" s="381" t="s">
        <v>324</v>
      </c>
      <c r="C114" s="381"/>
      <c r="D114" s="19" t="s">
        <v>226</v>
      </c>
      <c r="E114" s="3">
        <f>[1]Viveros.Agroforestales!Q21</f>
        <v>7</v>
      </c>
      <c r="F114" s="9">
        <f>[1]Viveros.Agroforestales!R21</f>
        <v>9520</v>
      </c>
      <c r="G114" s="18">
        <f t="shared" si="9"/>
        <v>66640</v>
      </c>
      <c r="J114" s="276"/>
      <c r="K114" s="276"/>
      <c r="L114" s="276"/>
    </row>
    <row r="115" spans="1:12" ht="22.5" customHeight="1">
      <c r="A115" s="383"/>
      <c r="B115" s="381" t="s">
        <v>325</v>
      </c>
      <c r="C115" s="381"/>
      <c r="D115" s="19" t="s">
        <v>226</v>
      </c>
      <c r="E115" s="3">
        <f>[1]Viveros.Agroforestales!Q22</f>
        <v>7</v>
      </c>
      <c r="F115" s="9">
        <f>[1]Viveros.Agroforestales!R22</f>
        <v>299990</v>
      </c>
      <c r="G115" s="281">
        <f t="shared" si="9"/>
        <v>2099930</v>
      </c>
      <c r="J115" s="276"/>
      <c r="K115" s="276"/>
      <c r="L115" s="276"/>
    </row>
    <row r="116" spans="1:12" ht="29.1">
      <c r="A116" s="382" t="s">
        <v>16</v>
      </c>
      <c r="B116" s="382"/>
      <c r="C116" s="382"/>
      <c r="D116" s="1" t="s">
        <v>220</v>
      </c>
      <c r="E116" s="1" t="s">
        <v>221</v>
      </c>
      <c r="F116" s="1" t="s">
        <v>222</v>
      </c>
      <c r="G116" s="1" t="s">
        <v>223</v>
      </c>
      <c r="J116" s="276"/>
      <c r="K116" s="276"/>
      <c r="L116" s="276"/>
    </row>
    <row r="117" spans="1:12">
      <c r="A117" s="383" t="s">
        <v>38</v>
      </c>
      <c r="B117" s="384" t="s">
        <v>326</v>
      </c>
      <c r="C117" s="384"/>
      <c r="D117" s="2"/>
      <c r="E117" s="3"/>
      <c r="F117" s="4"/>
      <c r="G117" s="5">
        <f>SUM(G118:G118)</f>
        <v>6000</v>
      </c>
      <c r="H117" s="149"/>
      <c r="I117" s="149"/>
      <c r="J117" s="276"/>
      <c r="K117" s="276"/>
      <c r="L117" s="276"/>
    </row>
    <row r="118" spans="1:12">
      <c r="A118" s="383"/>
      <c r="B118" s="381" t="s">
        <v>327</v>
      </c>
      <c r="C118" s="381"/>
      <c r="D118" s="19" t="s">
        <v>328</v>
      </c>
      <c r="E118" s="3">
        <v>1</v>
      </c>
      <c r="F118" s="9">
        <v>6000</v>
      </c>
      <c r="G118" s="7">
        <f>E118*F118</f>
        <v>6000</v>
      </c>
      <c r="J118" s="276"/>
      <c r="K118" s="276"/>
      <c r="L118" s="276"/>
    </row>
    <row r="119" spans="1:12" ht="29.1">
      <c r="A119" s="382" t="s">
        <v>16</v>
      </c>
      <c r="B119" s="382"/>
      <c r="C119" s="382"/>
      <c r="D119" s="1" t="s">
        <v>220</v>
      </c>
      <c r="E119" s="1" t="s">
        <v>221</v>
      </c>
      <c r="F119" s="1" t="s">
        <v>222</v>
      </c>
      <c r="G119" s="1" t="s">
        <v>223</v>
      </c>
      <c r="J119" s="276"/>
      <c r="K119" s="276"/>
      <c r="L119" s="276"/>
    </row>
    <row r="120" spans="1:12" ht="54.75" customHeight="1">
      <c r="A120" s="383" t="s">
        <v>42</v>
      </c>
      <c r="B120" s="384" t="s">
        <v>329</v>
      </c>
      <c r="C120" s="384"/>
      <c r="D120" s="2"/>
      <c r="E120" s="3"/>
      <c r="F120" s="4"/>
      <c r="G120" s="5">
        <f>SUM(G121:G123)</f>
        <v>19500</v>
      </c>
      <c r="H120" s="149"/>
      <c r="I120" s="149"/>
      <c r="J120" s="276"/>
      <c r="K120" s="276"/>
      <c r="L120" s="276"/>
    </row>
    <row r="121" spans="1:12">
      <c r="A121" s="383"/>
      <c r="B121" s="381" t="s">
        <v>330</v>
      </c>
      <c r="C121" s="381"/>
      <c r="D121" s="6" t="s">
        <v>328</v>
      </c>
      <c r="E121" s="3">
        <v>7</v>
      </c>
      <c r="F121" s="7">
        <v>1500</v>
      </c>
      <c r="G121" s="7">
        <f>E121*F121</f>
        <v>10500</v>
      </c>
      <c r="J121" s="276"/>
      <c r="K121" s="276"/>
      <c r="L121" s="276"/>
    </row>
    <row r="122" spans="1:12" ht="15" customHeight="1">
      <c r="A122" s="383"/>
      <c r="B122" s="381" t="s">
        <v>331</v>
      </c>
      <c r="C122" s="381"/>
      <c r="D122" s="6" t="s">
        <v>328</v>
      </c>
      <c r="E122" s="3">
        <v>3</v>
      </c>
      <c r="F122" s="7">
        <v>1500</v>
      </c>
      <c r="G122" s="7">
        <f t="shared" ref="G122:G123" si="10">E122*F122</f>
        <v>4500</v>
      </c>
      <c r="J122" s="276"/>
      <c r="K122" s="276"/>
      <c r="L122" s="276"/>
    </row>
    <row r="123" spans="1:12" ht="15" customHeight="1">
      <c r="A123" s="383"/>
      <c r="B123" s="381" t="s">
        <v>332</v>
      </c>
      <c r="C123" s="381"/>
      <c r="D123" s="6" t="s">
        <v>328</v>
      </c>
      <c r="E123" s="3">
        <v>3</v>
      </c>
      <c r="F123" s="7">
        <v>1500</v>
      </c>
      <c r="G123" s="7">
        <f t="shared" si="10"/>
        <v>4500</v>
      </c>
      <c r="J123" s="276"/>
      <c r="K123" s="276"/>
      <c r="L123" s="276"/>
    </row>
    <row r="124" spans="1:12" ht="29.1">
      <c r="A124" s="382" t="s">
        <v>16</v>
      </c>
      <c r="B124" s="382"/>
      <c r="C124" s="382"/>
      <c r="D124" s="1" t="s">
        <v>220</v>
      </c>
      <c r="E124" s="1" t="s">
        <v>221</v>
      </c>
      <c r="F124" s="1" t="s">
        <v>222</v>
      </c>
      <c r="G124" s="1" t="s">
        <v>223</v>
      </c>
      <c r="J124" s="276"/>
      <c r="K124" s="276"/>
      <c r="L124" s="276"/>
    </row>
    <row r="125" spans="1:12" ht="48" customHeight="1">
      <c r="A125" s="383" t="s">
        <v>44</v>
      </c>
      <c r="B125" s="384" t="s">
        <v>333</v>
      </c>
      <c r="C125" s="384"/>
      <c r="D125" s="2"/>
      <c r="E125" s="3"/>
      <c r="F125" s="4"/>
      <c r="G125" s="5">
        <f>SUM(G126:G126)</f>
        <v>2000</v>
      </c>
      <c r="H125" s="149"/>
      <c r="I125" s="149"/>
      <c r="J125" s="276"/>
      <c r="K125" s="276"/>
      <c r="L125" s="276"/>
    </row>
    <row r="126" spans="1:12" ht="15" customHeight="1">
      <c r="A126" s="383"/>
      <c r="B126" s="381" t="s">
        <v>334</v>
      </c>
      <c r="C126" s="381"/>
      <c r="D126" s="6" t="s">
        <v>328</v>
      </c>
      <c r="E126" s="3">
        <v>2</v>
      </c>
      <c r="F126" s="7">
        <v>1000</v>
      </c>
      <c r="G126" s="7">
        <f>E126*F126</f>
        <v>2000</v>
      </c>
      <c r="J126" s="276"/>
      <c r="K126" s="276"/>
      <c r="L126" s="276"/>
    </row>
    <row r="127" spans="1:12" ht="29.1">
      <c r="A127" s="382" t="s">
        <v>16</v>
      </c>
      <c r="B127" s="382"/>
      <c r="C127" s="382"/>
      <c r="D127" s="1" t="s">
        <v>220</v>
      </c>
      <c r="E127" s="1" t="s">
        <v>221</v>
      </c>
      <c r="F127" s="1" t="s">
        <v>222</v>
      </c>
      <c r="G127" s="1" t="s">
        <v>223</v>
      </c>
      <c r="J127" s="276"/>
      <c r="K127" s="276"/>
      <c r="L127" s="276"/>
    </row>
    <row r="128" spans="1:12" ht="51" customHeight="1">
      <c r="A128" s="383" t="s">
        <v>48</v>
      </c>
      <c r="B128" s="384" t="s">
        <v>335</v>
      </c>
      <c r="C128" s="384"/>
      <c r="D128" s="2"/>
      <c r="E128" s="3"/>
      <c r="F128" s="4"/>
      <c r="G128" s="5">
        <f>SUM(G129:G130)</f>
        <v>14000</v>
      </c>
      <c r="H128" s="149"/>
      <c r="I128" s="149"/>
      <c r="J128" s="276"/>
      <c r="K128" s="276"/>
      <c r="L128" s="276"/>
    </row>
    <row r="129" spans="1:12" ht="30" customHeight="1">
      <c r="A129" s="383"/>
      <c r="B129" s="381" t="s">
        <v>336</v>
      </c>
      <c r="C129" s="381"/>
      <c r="D129" s="6" t="s">
        <v>337</v>
      </c>
      <c r="E129" s="3">
        <v>2</v>
      </c>
      <c r="F129" s="7">
        <v>3500</v>
      </c>
      <c r="G129" s="7">
        <f>E129*F129</f>
        <v>7000</v>
      </c>
      <c r="J129" s="276"/>
      <c r="K129" s="276"/>
      <c r="L129" s="276"/>
    </row>
    <row r="130" spans="1:12" ht="30.75" customHeight="1">
      <c r="A130" s="383"/>
      <c r="B130" s="381" t="s">
        <v>338</v>
      </c>
      <c r="C130" s="381"/>
      <c r="D130" s="6" t="s">
        <v>337</v>
      </c>
      <c r="E130" s="3">
        <v>2</v>
      </c>
      <c r="F130" s="7">
        <v>3500</v>
      </c>
      <c r="G130" s="7">
        <f t="shared" ref="G130" si="11">E130*F130</f>
        <v>7000</v>
      </c>
      <c r="J130" s="276"/>
      <c r="K130" s="276"/>
      <c r="L130" s="276"/>
    </row>
    <row r="131" spans="1:12" ht="30.75" customHeight="1">
      <c r="A131" s="382" t="s">
        <v>16</v>
      </c>
      <c r="B131" s="382"/>
      <c r="C131" s="382"/>
      <c r="D131" s="1" t="s">
        <v>220</v>
      </c>
      <c r="E131" s="1" t="s">
        <v>221</v>
      </c>
      <c r="F131" s="1" t="s">
        <v>222</v>
      </c>
      <c r="G131" s="1" t="s">
        <v>223</v>
      </c>
      <c r="J131" s="276"/>
      <c r="K131" s="276"/>
      <c r="L131" s="276"/>
    </row>
    <row r="132" spans="1:12" ht="76.5" customHeight="1">
      <c r="A132" s="383" t="s">
        <v>53</v>
      </c>
      <c r="B132" s="384" t="s">
        <v>339</v>
      </c>
      <c r="C132" s="384"/>
      <c r="D132" s="2"/>
      <c r="E132" s="3">
        <f>SUM(E133:E137)</f>
        <v>420</v>
      </c>
      <c r="F132" s="7">
        <v>11.54</v>
      </c>
      <c r="G132" s="5">
        <f>SUM(G133:G137)</f>
        <v>18538741.987146016</v>
      </c>
      <c r="H132" s="149"/>
      <c r="I132" s="149"/>
      <c r="J132" s="276"/>
      <c r="K132" s="276"/>
      <c r="L132" s="276"/>
    </row>
    <row r="133" spans="1:12" ht="30.75" customHeight="1">
      <c r="A133" s="383"/>
      <c r="B133" s="10">
        <f>('[1]Cálculos auxiliares'!A5+'[1]Cálculos auxiliares'!A10)*70%*15544/(15554+20189)*70.2%</f>
        <v>494.71825263688004</v>
      </c>
      <c r="C133" s="10" t="s">
        <v>340</v>
      </c>
      <c r="D133" s="2" t="s">
        <v>341</v>
      </c>
      <c r="E133" s="3">
        <f>12*7</f>
        <v>84</v>
      </c>
      <c r="F133" s="7">
        <v>275</v>
      </c>
      <c r="G133" s="11">
        <f>B133*E133*F133</f>
        <v>11427991.635911928</v>
      </c>
      <c r="I133" s="276"/>
      <c r="J133" s="276"/>
      <c r="K133" s="276"/>
      <c r="L133" s="276"/>
    </row>
    <row r="134" spans="1:12" ht="30.75" customHeight="1">
      <c r="A134" s="383"/>
      <c r="B134" s="10">
        <f>('[1]Cálculos auxiliares'!A5+'[1]Cálculos auxiliares'!A10)*70%*15544/(15554+20189)*15.8%</f>
        <v>111.3468431860784</v>
      </c>
      <c r="C134" s="10" t="s">
        <v>342</v>
      </c>
      <c r="D134" s="2" t="s">
        <v>341</v>
      </c>
      <c r="E134" s="3">
        <f>12*7</f>
        <v>84</v>
      </c>
      <c r="F134" s="7">
        <v>475</v>
      </c>
      <c r="G134" s="11">
        <f>B134*E134*F134</f>
        <v>4442739.0431245277</v>
      </c>
      <c r="I134" s="276"/>
      <c r="J134" s="276"/>
      <c r="K134" s="276"/>
      <c r="L134" s="276"/>
    </row>
    <row r="135" spans="1:12" ht="30.75" customHeight="1">
      <c r="A135" s="383"/>
      <c r="B135" s="10">
        <f>('[1]Cálculos auxiliares'!A5+'[1]Cálculos auxiliares'!A10)*70%*15544/(15554+20189)*0.2%</f>
        <v>1.4094537112161822</v>
      </c>
      <c r="C135" s="10" t="s">
        <v>343</v>
      </c>
      <c r="D135" s="2" t="s">
        <v>341</v>
      </c>
      <c r="E135" s="3">
        <f>12*7</f>
        <v>84</v>
      </c>
      <c r="F135" s="7">
        <v>375</v>
      </c>
      <c r="G135" s="11">
        <f>B135*E135*F135</f>
        <v>44397.791903309742</v>
      </c>
      <c r="I135" s="276"/>
      <c r="J135" s="276"/>
      <c r="K135" s="276"/>
      <c r="L135" s="276"/>
    </row>
    <row r="136" spans="1:12" ht="30.75" customHeight="1">
      <c r="A136" s="383"/>
      <c r="B136" s="10">
        <f>('[1]Cálculos auxiliares'!A5+'[1]Cálculos auxiliares'!A10)*70%*15544/(15554+20189)*11.2%</f>
        <v>78.929407828106193</v>
      </c>
      <c r="C136" s="10" t="s">
        <v>344</v>
      </c>
      <c r="D136" s="2" t="s">
        <v>341</v>
      </c>
      <c r="E136" s="3">
        <f>12*7</f>
        <v>84</v>
      </c>
      <c r="F136" s="7">
        <v>275</v>
      </c>
      <c r="G136" s="11">
        <f>B136*E136*F136</f>
        <v>1823269.3208292532</v>
      </c>
      <c r="I136" s="276"/>
      <c r="J136" s="276"/>
      <c r="K136" s="276"/>
      <c r="L136" s="276"/>
    </row>
    <row r="137" spans="1:12" ht="30.75" customHeight="1">
      <c r="A137" s="383"/>
      <c r="B137" s="10">
        <f>('[1]Cálculos auxiliares'!A5+'[1]Cálculos auxiliares'!A10)*70%*15544/(15554+20189)*2.6%</f>
        <v>18.322898245810372</v>
      </c>
      <c r="C137" s="10" t="s">
        <v>345</v>
      </c>
      <c r="D137" s="2" t="s">
        <v>341</v>
      </c>
      <c r="E137" s="3">
        <f>12*7</f>
        <v>84</v>
      </c>
      <c r="F137" s="7">
        <v>520</v>
      </c>
      <c r="G137" s="11">
        <f>B137*E137*F137</f>
        <v>800344.195376997</v>
      </c>
      <c r="I137" s="276"/>
      <c r="J137" s="276"/>
      <c r="K137" s="276"/>
      <c r="L137" s="276"/>
    </row>
    <row r="138" spans="1:12" ht="44.1" customHeight="1">
      <c r="A138" s="382" t="s">
        <v>16</v>
      </c>
      <c r="B138" s="382"/>
      <c r="C138" s="382"/>
      <c r="D138" s="1" t="s">
        <v>220</v>
      </c>
      <c r="E138" s="1" t="s">
        <v>221</v>
      </c>
      <c r="F138" s="1" t="s">
        <v>222</v>
      </c>
      <c r="G138" s="1" t="s">
        <v>223</v>
      </c>
      <c r="J138" s="276"/>
      <c r="K138" s="276"/>
      <c r="L138" s="276"/>
    </row>
    <row r="139" spans="1:12" ht="42.75" customHeight="1">
      <c r="A139" s="383" t="s">
        <v>56</v>
      </c>
      <c r="B139" s="394" t="s">
        <v>346</v>
      </c>
      <c r="C139" s="394"/>
      <c r="D139" s="3"/>
      <c r="E139" s="3"/>
      <c r="F139" s="12"/>
      <c r="G139" s="13">
        <f>SUM(G140:G145)</f>
        <v>8887377.5999999996</v>
      </c>
      <c r="H139" s="149"/>
      <c r="I139" s="149"/>
      <c r="J139" s="276"/>
      <c r="K139" s="276"/>
      <c r="L139" s="276"/>
    </row>
    <row r="140" spans="1:12" ht="30.75" customHeight="1">
      <c r="A140" s="383"/>
      <c r="B140" s="395" t="s">
        <v>347</v>
      </c>
      <c r="C140" s="395"/>
      <c r="D140" s="14" t="s">
        <v>226</v>
      </c>
      <c r="E140" s="3">
        <f>'[1]13b. Annex CEDPLA - Reservorio'!G280</f>
        <v>152</v>
      </c>
      <c r="F140" s="15">
        <f>'[1]13b. Annex CEDPLA - Reservorio'!H280</f>
        <v>2424</v>
      </c>
      <c r="G140" s="16">
        <f>E140*F140</f>
        <v>368448</v>
      </c>
      <c r="J140" s="276"/>
      <c r="K140" s="276"/>
      <c r="L140" s="276"/>
    </row>
    <row r="141" spans="1:12" ht="30.75" customHeight="1">
      <c r="A141" s="383"/>
      <c r="B141" s="395" t="s">
        <v>348</v>
      </c>
      <c r="C141" s="395"/>
      <c r="D141" s="14" t="s">
        <v>226</v>
      </c>
      <c r="E141" s="3">
        <f>'[1]16b. Annex M4 FRUAGR - Reservor'!G327</f>
        <v>300</v>
      </c>
      <c r="F141" s="15">
        <f>'[1]16b. Annex M4 FRUAGR - Reservor'!H327</f>
        <v>2904</v>
      </c>
      <c r="G141" s="16">
        <f t="shared" ref="G141:G142" si="12">E141*F141</f>
        <v>871200</v>
      </c>
      <c r="J141" s="276"/>
      <c r="K141" s="276"/>
      <c r="L141" s="276"/>
    </row>
    <row r="142" spans="1:12" ht="30.75" customHeight="1">
      <c r="A142" s="383"/>
      <c r="B142" s="395" t="s">
        <v>349</v>
      </c>
      <c r="C142" s="395"/>
      <c r="D142" s="14" t="s">
        <v>226</v>
      </c>
      <c r="E142" s="3">
        <f>'[1]13a. Annex M1 CEDPLA - Riego'!G277+'[1]16a. Annex M4 FRUAGR - Riego  '!G331</f>
        <v>372</v>
      </c>
      <c r="F142" s="15">
        <f>'[1]13a. Annex M1 CEDPLA - Riego'!H277</f>
        <v>14368.9</v>
      </c>
      <c r="G142" s="16">
        <f t="shared" si="12"/>
        <v>5345230.8</v>
      </c>
      <c r="J142" s="276"/>
      <c r="K142" s="276"/>
      <c r="L142" s="276"/>
    </row>
    <row r="143" spans="1:12" ht="30.75" customHeight="1">
      <c r="A143" s="383"/>
      <c r="B143" s="395" t="s">
        <v>350</v>
      </c>
      <c r="C143" s="395"/>
      <c r="D143" s="14" t="s">
        <v>226</v>
      </c>
      <c r="E143" s="3">
        <f>'[1]13b. Annex CEDPLA - Reservorio'!G281+'[1]16b. Annex M4 FRUAGR - Reservor'!G328</f>
        <v>452</v>
      </c>
      <c r="F143" s="15">
        <f>'[1]13b. Annex CEDPLA - Reservorio'!H281</f>
        <v>1398.97</v>
      </c>
      <c r="G143" s="16">
        <f>E143*F143</f>
        <v>632334.44000000006</v>
      </c>
      <c r="J143" s="276"/>
      <c r="K143" s="276"/>
      <c r="L143" s="276"/>
    </row>
    <row r="144" spans="1:12" ht="30.75" customHeight="1">
      <c r="A144" s="383"/>
      <c r="B144" s="395" t="s">
        <v>351</v>
      </c>
      <c r="C144" s="395"/>
      <c r="D144" s="14" t="s">
        <v>226</v>
      </c>
      <c r="E144" s="3">
        <f>'[1]13a. Annex M1 CEDPLA - Riego'!G278+'[1]16a. Annex M4 FRUAGR - Riego  '!G332</f>
        <v>372</v>
      </c>
      <c r="F144" s="15">
        <f>'[1]13a. Annex M1 CEDPLA - Riego'!H278</f>
        <v>3153.13</v>
      </c>
      <c r="G144" s="16">
        <f>E144*F144</f>
        <v>1172964.3600000001</v>
      </c>
      <c r="J144" s="276"/>
      <c r="K144" s="276"/>
      <c r="L144" s="276"/>
    </row>
    <row r="145" spans="1:12" ht="30.75" customHeight="1">
      <c r="A145" s="383"/>
      <c r="B145" s="395" t="s">
        <v>352</v>
      </c>
      <c r="C145" s="395"/>
      <c r="D145" s="14" t="s">
        <v>226</v>
      </c>
      <c r="E145" s="3">
        <f>'[1]13b. Annex CEDPLA - Reservorio'!G282+'[1]16b. Annex M4 FRUAGR - Reservor'!G329</f>
        <v>452</v>
      </c>
      <c r="F145" s="15">
        <f>'[1]13b. Annex CEDPLA - Reservorio'!H282</f>
        <v>1100</v>
      </c>
      <c r="G145" s="16">
        <f>E145*F145</f>
        <v>497200</v>
      </c>
      <c r="J145" s="276"/>
      <c r="K145" s="276"/>
      <c r="L145" s="276"/>
    </row>
    <row r="146" spans="1:12" ht="43.5" customHeight="1">
      <c r="A146" s="382" t="s">
        <v>16</v>
      </c>
      <c r="B146" s="382"/>
      <c r="C146" s="382"/>
      <c r="D146" s="1" t="s">
        <v>220</v>
      </c>
      <c r="E146" s="1" t="s">
        <v>221</v>
      </c>
      <c r="F146" s="1" t="s">
        <v>222</v>
      </c>
      <c r="G146" s="1" t="s">
        <v>223</v>
      </c>
      <c r="J146" s="276"/>
      <c r="K146" s="276"/>
      <c r="L146" s="276"/>
    </row>
    <row r="147" spans="1:12" ht="30.75" customHeight="1">
      <c r="A147" s="383" t="s">
        <v>58</v>
      </c>
      <c r="B147" s="384" t="s">
        <v>353</v>
      </c>
      <c r="C147" s="384"/>
      <c r="D147" s="2"/>
      <c r="E147" s="3"/>
      <c r="F147" s="7"/>
      <c r="G147" s="5">
        <f>SUM(G148:G150)</f>
        <v>5967916.5355591271</v>
      </c>
      <c r="H147" s="149"/>
      <c r="I147" s="149"/>
      <c r="J147" s="276"/>
      <c r="K147" s="276"/>
      <c r="L147" s="276"/>
    </row>
    <row r="148" spans="1:12" ht="30.75" customHeight="1">
      <c r="A148" s="383"/>
      <c r="B148" s="384" t="s">
        <v>354</v>
      </c>
      <c r="C148" s="384"/>
      <c r="D148" s="6" t="s">
        <v>355</v>
      </c>
      <c r="E148" s="3">
        <f>SUM('[1]13a. Annex M1 CEDPLA - Riego'!G264:G269)+SUM('[1]13b. Annex CEDPLA - Reservorio'!G267:G272)+SUM('[1]14. Annex M2 MARREG'!G189:G194)+SUM('[1]15. Annex M3 MARFOM'!G246:G253)+SUM('[1]16a. Annex M4 FRUAGR - Riego  '!G312:G321)+SUM('[1]16b. Annex M4 FRUAGR - Reservor'!G309:G318)+SUM('[1]16c. Annex M4 FRUAGR - Invierno'!G309:G318)</f>
        <v>16890596</v>
      </c>
      <c r="F148" s="9">
        <f>G148/E148</f>
        <v>6.6264691640195911E-2</v>
      </c>
      <c r="G148" s="17">
        <f>'[1]Presupuesto Cofinanc. (CUP)'!I52*19388829/34032056</f>
        <v>1119250.1355591265</v>
      </c>
      <c r="J148" s="276"/>
      <c r="K148" s="276"/>
      <c r="L148" s="276"/>
    </row>
    <row r="149" spans="1:12" ht="30.75" customHeight="1">
      <c r="A149" s="383"/>
      <c r="B149" s="384" t="s">
        <v>356</v>
      </c>
      <c r="C149" s="384"/>
      <c r="D149" s="2" t="s">
        <v>294</v>
      </c>
      <c r="E149" s="3">
        <f>'[1]13a. Annex M1 CEDPLA - Riego'!G270+'[1]13b. Annex CEDPLA - Reservorio'!G273+'[1]16a. Annex M4 FRUAGR - Riego  '!G322+'[1]16b. Annex M4 FRUAGR - Reservor'!G319+'[1]16c. Annex M4 FRUAGR - Invierno'!G319</f>
        <v>7574410</v>
      </c>
      <c r="F149" s="9">
        <v>0.04</v>
      </c>
      <c r="G149" s="16">
        <f>E149*F149</f>
        <v>302976.40000000002</v>
      </c>
      <c r="J149" s="276"/>
      <c r="K149" s="276"/>
      <c r="L149" s="276"/>
    </row>
    <row r="150" spans="1:12" ht="30.75" customHeight="1">
      <c r="A150" s="383"/>
      <c r="B150" s="384" t="s">
        <v>357</v>
      </c>
      <c r="C150" s="384"/>
      <c r="D150" s="6" t="s">
        <v>358</v>
      </c>
      <c r="E150" s="3">
        <f>'[1]13a. Annex M1 CEDPLA - Riego'!G272+'[1]13b. Annex CEDPLA - Reservorio'!G275+'[1]15. Annex M3 MARFOM'!G255+'[1]16a. Annex M4 FRUAGR - Riego  '!G324+'[1]16a. Annex M4 FRUAGR - Riego  '!G325+'[1]16b. Annex M4 FRUAGR - Reservor'!G321+'[1]16b. Annex M4 FRUAGR - Reservor'!G322+'[1]16c. Annex M4 FRUAGR - Invierno'!G321+'[1]16c. Annex M4 FRUAGR - Invierno'!G322</f>
        <v>454569</v>
      </c>
      <c r="F150" s="9">
        <v>10</v>
      </c>
      <c r="G150" s="3">
        <f t="shared" ref="G150" si="13">E150*F150</f>
        <v>4545690</v>
      </c>
      <c r="J150" s="276"/>
      <c r="K150" s="276"/>
      <c r="L150" s="276"/>
    </row>
    <row r="151" spans="1:12" ht="43.5" customHeight="1">
      <c r="A151" s="382" t="s">
        <v>16</v>
      </c>
      <c r="B151" s="382"/>
      <c r="C151" s="382"/>
      <c r="D151" s="1" t="s">
        <v>220</v>
      </c>
      <c r="E151" s="1" t="s">
        <v>221</v>
      </c>
      <c r="F151" s="1" t="s">
        <v>222</v>
      </c>
      <c r="G151" s="1" t="s">
        <v>223</v>
      </c>
      <c r="J151" s="276"/>
      <c r="K151" s="276"/>
      <c r="L151" s="276"/>
    </row>
    <row r="152" spans="1:12" ht="137.25" customHeight="1">
      <c r="A152" s="383" t="str">
        <f>'1.Detailed budget'!P17</f>
        <v>O</v>
      </c>
      <c r="B152" s="384" t="s">
        <v>359</v>
      </c>
      <c r="C152" s="384"/>
      <c r="D152" s="2"/>
      <c r="E152" s="3">
        <f>SUM(E153:E157)</f>
        <v>420</v>
      </c>
      <c r="F152" s="7"/>
      <c r="G152" s="5">
        <f>SUM(G153:G157)</f>
        <v>7945175.1373482933</v>
      </c>
      <c r="H152" s="149"/>
      <c r="I152" s="149"/>
      <c r="J152" s="276"/>
      <c r="K152" s="276"/>
      <c r="L152" s="276"/>
    </row>
    <row r="153" spans="1:12" ht="30.75" customHeight="1">
      <c r="A153" s="383"/>
      <c r="B153" s="10">
        <f>('[1]Cálculos auxiliares'!A5+'[1]Cálculos auxiliares'!A10)*30%*15544/(15554+20189)*70.2%</f>
        <v>212.0221082729486</v>
      </c>
      <c r="C153" s="10" t="s">
        <v>340</v>
      </c>
      <c r="D153" s="2" t="s">
        <v>341</v>
      </c>
      <c r="E153" s="3">
        <f>12*7</f>
        <v>84</v>
      </c>
      <c r="F153" s="7">
        <v>275</v>
      </c>
      <c r="G153" s="11">
        <f>B153*E153*F153</f>
        <v>4897710.7011051131</v>
      </c>
      <c r="I153" s="276"/>
      <c r="J153" s="276"/>
      <c r="K153" s="276"/>
      <c r="L153" s="276"/>
    </row>
    <row r="154" spans="1:12" ht="30.75" customHeight="1">
      <c r="A154" s="383"/>
      <c r="B154" s="10">
        <f>('[1]Cálculos auxiliares'!A5+'[1]Cálculos auxiliares'!A10)*30%*15544/(15554+20189)*15.8%</f>
        <v>47.720075651176458</v>
      </c>
      <c r="C154" s="10" t="s">
        <v>342</v>
      </c>
      <c r="D154" s="2" t="s">
        <v>341</v>
      </c>
      <c r="E154" s="3">
        <f>12*7</f>
        <v>84</v>
      </c>
      <c r="F154" s="7">
        <v>475</v>
      </c>
      <c r="G154" s="11">
        <f>B154*E154*F154</f>
        <v>1904031.0184819407</v>
      </c>
      <c r="I154" s="276"/>
      <c r="J154" s="276"/>
      <c r="K154" s="276"/>
      <c r="L154" s="276"/>
    </row>
    <row r="155" spans="1:12" ht="30.75" customHeight="1">
      <c r="A155" s="383"/>
      <c r="B155" s="10">
        <f>('[1]Cálculos auxiliares'!A5+'[1]Cálculos auxiliares'!A10)*30%*15544/(15554+20189)*0.2%</f>
        <v>0.60405159052122104</v>
      </c>
      <c r="C155" s="10" t="s">
        <v>343</v>
      </c>
      <c r="D155" s="2" t="s">
        <v>341</v>
      </c>
      <c r="E155" s="3">
        <f>12*7</f>
        <v>84</v>
      </c>
      <c r="F155" s="7">
        <v>375</v>
      </c>
      <c r="G155" s="11">
        <f>B155*E155*F155</f>
        <v>19027.625101418464</v>
      </c>
      <c r="I155" s="276"/>
      <c r="J155" s="276"/>
      <c r="K155" s="276"/>
      <c r="L155" s="276"/>
    </row>
    <row r="156" spans="1:12" ht="30.75" customHeight="1">
      <c r="A156" s="383"/>
      <c r="B156" s="10">
        <f>('[1]Cálculos auxiliares'!A5+'[1]Cálculos auxiliares'!A10)*30%*15544/(15554+20189)*11.2%</f>
        <v>33.826889069188368</v>
      </c>
      <c r="C156" s="10" t="s">
        <v>344</v>
      </c>
      <c r="D156" s="2" t="s">
        <v>341</v>
      </c>
      <c r="E156" s="3">
        <f>12*7</f>
        <v>84</v>
      </c>
      <c r="F156" s="7">
        <v>275</v>
      </c>
      <c r="G156" s="11">
        <f>B156*E156*F156</f>
        <v>781401.13749825128</v>
      </c>
      <c r="I156" s="276"/>
      <c r="J156" s="276"/>
      <c r="K156" s="276"/>
      <c r="L156" s="276"/>
    </row>
    <row r="157" spans="1:12" ht="30.75" customHeight="1">
      <c r="A157" s="383"/>
      <c r="B157" s="10">
        <f>('[1]Cálculos auxiliares'!A5+'[1]Cálculos auxiliares'!A10)*30%*15544/(15554+20189)*2.6%</f>
        <v>7.8526706767758734</v>
      </c>
      <c r="C157" s="10" t="s">
        <v>345</v>
      </c>
      <c r="D157" s="2" t="s">
        <v>341</v>
      </c>
      <c r="E157" s="3">
        <f>12*7</f>
        <v>84</v>
      </c>
      <c r="F157" s="7">
        <v>520</v>
      </c>
      <c r="G157" s="11">
        <f>B157*E157*F157</f>
        <v>343004.65516157012</v>
      </c>
      <c r="I157" s="276"/>
      <c r="J157" s="276"/>
      <c r="K157" s="276"/>
      <c r="L157" s="276"/>
    </row>
    <row r="158" spans="1:12" ht="15" customHeight="1">
      <c r="A158" s="382" t="s">
        <v>16</v>
      </c>
      <c r="B158" s="382"/>
      <c r="C158" s="382"/>
      <c r="D158" s="1" t="s">
        <v>220</v>
      </c>
      <c r="E158" s="1" t="s">
        <v>221</v>
      </c>
      <c r="F158" s="1" t="s">
        <v>222</v>
      </c>
      <c r="G158" s="1" t="s">
        <v>223</v>
      </c>
      <c r="J158" s="276"/>
      <c r="K158" s="276"/>
      <c r="L158" s="276"/>
    </row>
    <row r="159" spans="1:12" ht="36.75" customHeight="1">
      <c r="A159" s="383" t="str">
        <f>'1.Detailed budget'!P18</f>
        <v>P</v>
      </c>
      <c r="B159" s="386" t="s">
        <v>360</v>
      </c>
      <c r="C159" s="384"/>
      <c r="D159" s="2"/>
      <c r="E159" s="3"/>
      <c r="F159" s="4"/>
      <c r="G159" s="5">
        <f>SUM(G160:G160)</f>
        <v>5884929.9449683549</v>
      </c>
      <c r="H159" s="149"/>
      <c r="I159" s="149"/>
      <c r="J159" s="276"/>
      <c r="K159" s="276"/>
      <c r="L159" s="276"/>
    </row>
    <row r="160" spans="1:12" ht="15" customHeight="1">
      <c r="A160" s="383"/>
      <c r="B160" s="381" t="s">
        <v>361</v>
      </c>
      <c r="C160" s="381"/>
      <c r="D160" s="19" t="s">
        <v>256</v>
      </c>
      <c r="E160" s="3">
        <v>7</v>
      </c>
      <c r="F160" s="9">
        <f>'1.Detailed budget'!H18</f>
        <v>840704.27785262209</v>
      </c>
      <c r="G160" s="7">
        <f>E160*F160</f>
        <v>5884929.9449683549</v>
      </c>
      <c r="J160" s="276"/>
      <c r="K160" s="276"/>
      <c r="L160" s="276"/>
    </row>
    <row r="161" spans="1:12" ht="29.1">
      <c r="A161" s="382" t="s">
        <v>16</v>
      </c>
      <c r="B161" s="382"/>
      <c r="C161" s="382"/>
      <c r="D161" s="1" t="s">
        <v>220</v>
      </c>
      <c r="E161" s="1" t="s">
        <v>221</v>
      </c>
      <c r="F161" s="1" t="s">
        <v>222</v>
      </c>
      <c r="G161" s="1" t="s">
        <v>223</v>
      </c>
      <c r="J161" s="276"/>
      <c r="K161" s="276"/>
      <c r="L161" s="276"/>
    </row>
    <row r="162" spans="1:12" ht="39" customHeight="1">
      <c r="A162" s="383" t="str">
        <f>'1.Detailed budget'!P19</f>
        <v>Q</v>
      </c>
      <c r="B162" s="398" t="s">
        <v>362</v>
      </c>
      <c r="C162" s="398"/>
      <c r="D162" s="2"/>
      <c r="E162" s="3"/>
      <c r="F162" s="4"/>
      <c r="G162" s="5">
        <f>SUM(G163:G163)</f>
        <v>504000</v>
      </c>
      <c r="H162" s="149"/>
      <c r="I162" s="149"/>
      <c r="J162" s="276"/>
      <c r="K162" s="276"/>
      <c r="L162" s="276"/>
    </row>
    <row r="163" spans="1:12">
      <c r="A163" s="383"/>
      <c r="B163" s="329">
        <v>12</v>
      </c>
      <c r="C163" s="329" t="s">
        <v>363</v>
      </c>
      <c r="D163" s="19" t="s">
        <v>341</v>
      </c>
      <c r="E163" s="3">
        <v>84</v>
      </c>
      <c r="F163" s="9">
        <v>500</v>
      </c>
      <c r="G163" s="7">
        <f>B163*E163*F163</f>
        <v>504000</v>
      </c>
      <c r="J163" s="276"/>
      <c r="K163" s="276"/>
      <c r="L163" s="276"/>
    </row>
    <row r="164" spans="1:12" ht="29.1">
      <c r="A164" s="382" t="s">
        <v>16</v>
      </c>
      <c r="B164" s="382"/>
      <c r="C164" s="382"/>
      <c r="D164" s="1" t="s">
        <v>220</v>
      </c>
      <c r="E164" s="1" t="s">
        <v>221</v>
      </c>
      <c r="F164" s="1" t="s">
        <v>222</v>
      </c>
      <c r="G164" s="1" t="s">
        <v>223</v>
      </c>
      <c r="J164" s="276"/>
      <c r="K164" s="276"/>
      <c r="L164" s="276"/>
    </row>
    <row r="165" spans="1:12" ht="50.25" customHeight="1">
      <c r="A165" s="378" t="str">
        <f>'1.Detailed budget'!P20</f>
        <v>R</v>
      </c>
      <c r="B165" s="384" t="s">
        <v>364</v>
      </c>
      <c r="C165" s="384"/>
      <c r="D165" s="2"/>
      <c r="E165" s="3"/>
      <c r="F165" s="4"/>
      <c r="G165" s="5">
        <f>G166+G170+G186+G197</f>
        <v>1668671.75</v>
      </c>
      <c r="H165" s="149"/>
      <c r="I165" s="149"/>
      <c r="J165" s="276"/>
      <c r="K165" s="276"/>
      <c r="L165" s="276"/>
    </row>
    <row r="166" spans="1:12" ht="14.45" customHeight="1">
      <c r="A166" s="379"/>
      <c r="B166" s="387" t="s">
        <v>365</v>
      </c>
      <c r="C166" s="387"/>
      <c r="D166" s="2"/>
      <c r="E166" s="3"/>
      <c r="F166" s="4"/>
      <c r="G166" s="5">
        <f>SUM(G167:G169)</f>
        <v>634440</v>
      </c>
      <c r="J166" s="276"/>
      <c r="K166" s="276"/>
      <c r="L166" s="276"/>
    </row>
    <row r="167" spans="1:12" ht="14.45" customHeight="1">
      <c r="A167" s="379"/>
      <c r="B167" s="381" t="s">
        <v>227</v>
      </c>
      <c r="C167" s="381"/>
      <c r="D167" s="19" t="s">
        <v>226</v>
      </c>
      <c r="E167" s="3">
        <f>'[1]Presupuesto.O&amp;M'!J10</f>
        <v>6</v>
      </c>
      <c r="F167" s="9">
        <f>'[1]Presupuesto.O&amp;M'!D10*85%</f>
        <v>24225</v>
      </c>
      <c r="G167" s="7">
        <f>E167*F167</f>
        <v>145350</v>
      </c>
      <c r="J167" s="276"/>
      <c r="K167" s="276"/>
      <c r="L167" s="276"/>
    </row>
    <row r="168" spans="1:12" ht="14.45" customHeight="1">
      <c r="A168" s="379"/>
      <c r="B168" s="381" t="s">
        <v>228</v>
      </c>
      <c r="C168" s="381"/>
      <c r="D168" s="19" t="s">
        <v>226</v>
      </c>
      <c r="E168" s="3">
        <f>'[1]Presupuesto.O&amp;M'!J11</f>
        <v>8</v>
      </c>
      <c r="F168" s="9">
        <f>'[1]Presupuesto.O&amp;M'!D11*85%</f>
        <v>20825</v>
      </c>
      <c r="G168" s="7">
        <f>E168*F168</f>
        <v>166600</v>
      </c>
      <c r="J168" s="276"/>
      <c r="K168" s="276"/>
      <c r="L168" s="276"/>
    </row>
    <row r="169" spans="1:12" ht="14.45" customHeight="1">
      <c r="A169" s="379"/>
      <c r="B169" s="381" t="s">
        <v>230</v>
      </c>
      <c r="C169" s="381"/>
      <c r="D169" s="19" t="s">
        <v>226</v>
      </c>
      <c r="E169" s="3">
        <f>'[1]Presupuesto.O&amp;M'!J13</f>
        <v>2</v>
      </c>
      <c r="F169" s="9">
        <f>'[1]Presupuesto.O&amp;M'!D13*85%</f>
        <v>161245</v>
      </c>
      <c r="G169" s="7">
        <f t="shared" ref="G169" si="14">E169*F169</f>
        <v>322490</v>
      </c>
      <c r="J169" s="276"/>
      <c r="K169" s="276"/>
      <c r="L169" s="276"/>
    </row>
    <row r="170" spans="1:12" ht="14.45" customHeight="1">
      <c r="A170" s="379"/>
      <c r="B170" s="387" t="s">
        <v>366</v>
      </c>
      <c r="C170" s="387"/>
      <c r="D170" s="19"/>
      <c r="E170" s="3"/>
      <c r="F170" s="9"/>
      <c r="G170" s="5">
        <f>SUM(G171:G185)</f>
        <v>422773</v>
      </c>
      <c r="J170" s="276"/>
      <c r="K170" s="276"/>
      <c r="L170" s="276"/>
    </row>
    <row r="171" spans="1:12" ht="14.45" customHeight="1">
      <c r="A171" s="379"/>
      <c r="B171" s="381" t="s">
        <v>236</v>
      </c>
      <c r="C171" s="381"/>
      <c r="D171" s="19" t="s">
        <v>226</v>
      </c>
      <c r="E171" s="3">
        <f>'[1]Presupuesto.O&amp;M'!J17</f>
        <v>3</v>
      </c>
      <c r="F171" s="9">
        <f>'[1]Presupuesto.O&amp;M'!D17*85%</f>
        <v>5695</v>
      </c>
      <c r="G171" s="7">
        <f t="shared" ref="G171:G199" si="15">E171*F171</f>
        <v>17085</v>
      </c>
      <c r="J171" s="276"/>
      <c r="K171" s="276"/>
      <c r="L171" s="276"/>
    </row>
    <row r="172" spans="1:12" ht="15" customHeight="1">
      <c r="A172" s="379"/>
      <c r="B172" s="381" t="s">
        <v>234</v>
      </c>
      <c r="C172" s="381"/>
      <c r="D172" s="19" t="s">
        <v>226</v>
      </c>
      <c r="E172" s="3">
        <f>'[1]Presupuesto.O&amp;M'!J18</f>
        <v>3</v>
      </c>
      <c r="F172" s="9">
        <f>'[1]Presupuesto.O&amp;M'!D18*85%</f>
        <v>2125</v>
      </c>
      <c r="G172" s="7">
        <f t="shared" si="15"/>
        <v>6375</v>
      </c>
      <c r="J172" s="276"/>
      <c r="K172" s="276"/>
      <c r="L172" s="276"/>
    </row>
    <row r="173" spans="1:12" ht="15" customHeight="1">
      <c r="A173" s="379"/>
      <c r="B173" s="381" t="s">
        <v>235</v>
      </c>
      <c r="C173" s="381"/>
      <c r="D173" s="19" t="s">
        <v>226</v>
      </c>
      <c r="E173" s="3">
        <f>'[1]Presupuesto.O&amp;M'!J19</f>
        <v>2</v>
      </c>
      <c r="F173" s="9">
        <f>'[1]Presupuesto.O&amp;M'!D19*85%</f>
        <v>1147.5</v>
      </c>
      <c r="G173" s="7">
        <f t="shared" si="15"/>
        <v>2295</v>
      </c>
      <c r="J173" s="276"/>
      <c r="K173" s="276"/>
      <c r="L173" s="276"/>
    </row>
    <row r="174" spans="1:12" ht="15" customHeight="1">
      <c r="A174" s="379"/>
      <c r="B174" s="381" t="s">
        <v>236</v>
      </c>
      <c r="C174" s="381"/>
      <c r="D174" s="19" t="s">
        <v>226</v>
      </c>
      <c r="E174" s="3">
        <f>'[1]Presupuesto.O&amp;M'!J20</f>
        <v>3</v>
      </c>
      <c r="F174" s="9">
        <f>'[1]Presupuesto.O&amp;M'!D20*85%</f>
        <v>2295</v>
      </c>
      <c r="G174" s="7">
        <f t="shared" si="15"/>
        <v>6885</v>
      </c>
      <c r="J174" s="276"/>
      <c r="K174" s="276"/>
      <c r="L174" s="276"/>
    </row>
    <row r="175" spans="1:12" ht="14.45" customHeight="1">
      <c r="A175" s="379"/>
      <c r="B175" s="381" t="s">
        <v>237</v>
      </c>
      <c r="C175" s="381"/>
      <c r="D175" s="19" t="s">
        <v>226</v>
      </c>
      <c r="E175" s="3">
        <f>'[1]Presupuesto.O&amp;M'!J21</f>
        <v>6</v>
      </c>
      <c r="F175" s="9">
        <f>'[1]Presupuesto.O&amp;M'!D21*85%</f>
        <v>10200</v>
      </c>
      <c r="G175" s="7">
        <f t="shared" si="15"/>
        <v>61200</v>
      </c>
      <c r="J175" s="276"/>
      <c r="K175" s="276"/>
      <c r="L175" s="276"/>
    </row>
    <row r="176" spans="1:12" ht="14.45" customHeight="1">
      <c r="A176" s="379"/>
      <c r="B176" s="381" t="str">
        <f>'[1]Presupuesto.O&amp;M'!B22</f>
        <v>Trailer 7t</v>
      </c>
      <c r="C176" s="381"/>
      <c r="D176" s="19" t="s">
        <v>226</v>
      </c>
      <c r="E176" s="3">
        <f>'[1]Presupuesto.O&amp;M'!J22</f>
        <v>4</v>
      </c>
      <c r="F176" s="9">
        <f>'[1]Presupuesto.O&amp;M'!D22*85%</f>
        <v>5100</v>
      </c>
      <c r="G176" s="7">
        <f t="shared" si="15"/>
        <v>20400</v>
      </c>
      <c r="J176" s="276"/>
      <c r="K176" s="276"/>
      <c r="L176" s="276"/>
    </row>
    <row r="177" spans="1:12" ht="14.45" customHeight="1">
      <c r="A177" s="379"/>
      <c r="B177" s="381" t="s">
        <v>239</v>
      </c>
      <c r="C177" s="381"/>
      <c r="D177" s="19" t="s">
        <v>226</v>
      </c>
      <c r="E177" s="3">
        <f>'[1]Presupuesto.O&amp;M'!J23</f>
        <v>3</v>
      </c>
      <c r="F177" s="9">
        <f>'[1]Presupuesto.O&amp;M'!D23*85%</f>
        <v>1402.5</v>
      </c>
      <c r="G177" s="7">
        <f t="shared" si="15"/>
        <v>4207.5</v>
      </c>
      <c r="J177" s="276"/>
      <c r="K177" s="276"/>
      <c r="L177" s="276"/>
    </row>
    <row r="178" spans="1:12" ht="14.45" customHeight="1">
      <c r="A178" s="379"/>
      <c r="B178" s="381" t="s">
        <v>240</v>
      </c>
      <c r="C178" s="381"/>
      <c r="D178" s="19" t="s">
        <v>226</v>
      </c>
      <c r="E178" s="3">
        <f>'[1]Presupuesto.O&amp;M'!J24</f>
        <v>2</v>
      </c>
      <c r="F178" s="9">
        <f>'[1]Presupuesto.O&amp;M'!D24*85%</f>
        <v>8364</v>
      </c>
      <c r="G178" s="7">
        <f t="shared" si="15"/>
        <v>16728</v>
      </c>
      <c r="J178" s="276"/>
      <c r="K178" s="276"/>
      <c r="L178" s="276"/>
    </row>
    <row r="179" spans="1:12" ht="14.45" customHeight="1">
      <c r="A179" s="379"/>
      <c r="B179" s="381" t="s">
        <v>241</v>
      </c>
      <c r="C179" s="381"/>
      <c r="D179" s="19" t="s">
        <v>226</v>
      </c>
      <c r="E179" s="3">
        <f>'[1]Presupuesto.O&amp;M'!J25</f>
        <v>3</v>
      </c>
      <c r="F179" s="9">
        <f>'[1]Presupuesto.O&amp;M'!D25*85%</f>
        <v>2125</v>
      </c>
      <c r="G179" s="7">
        <f t="shared" si="15"/>
        <v>6375</v>
      </c>
      <c r="J179" s="276"/>
      <c r="K179" s="276"/>
      <c r="L179" s="276"/>
    </row>
    <row r="180" spans="1:12" ht="14.45" customHeight="1">
      <c r="A180" s="379"/>
      <c r="B180" s="381" t="s">
        <v>242</v>
      </c>
      <c r="C180" s="381"/>
      <c r="D180" s="19" t="s">
        <v>226</v>
      </c>
      <c r="E180" s="3">
        <f>'[1]Presupuesto.O&amp;M'!J26</f>
        <v>3</v>
      </c>
      <c r="F180" s="9">
        <f>'[1]Presupuesto.O&amp;M'!D26*85%</f>
        <v>680</v>
      </c>
      <c r="G180" s="7">
        <f t="shared" si="15"/>
        <v>2040</v>
      </c>
      <c r="J180" s="276"/>
      <c r="K180" s="276"/>
      <c r="L180" s="276"/>
    </row>
    <row r="181" spans="1:12" ht="14.45" customHeight="1">
      <c r="A181" s="379"/>
      <c r="B181" s="399" t="s">
        <v>273</v>
      </c>
      <c r="C181" s="400"/>
      <c r="D181" s="19" t="s">
        <v>226</v>
      </c>
      <c r="E181" s="3">
        <f>'[1]Presupuesto.O&amp;M'!J27</f>
        <v>5</v>
      </c>
      <c r="F181" s="9">
        <f>'[1]Presupuesto.O&amp;M'!D27*85%</f>
        <v>5227.5</v>
      </c>
      <c r="G181" s="7">
        <f t="shared" si="15"/>
        <v>26137.5</v>
      </c>
      <c r="J181" s="276"/>
      <c r="K181" s="276"/>
      <c r="L181" s="276"/>
    </row>
    <row r="182" spans="1:12" ht="14.45" customHeight="1">
      <c r="A182" s="379"/>
      <c r="B182" s="399" t="s">
        <v>367</v>
      </c>
      <c r="C182" s="400"/>
      <c r="D182" s="19" t="s">
        <v>226</v>
      </c>
      <c r="E182" s="3">
        <f>'[1]Presupuesto.O&amp;M'!J28</f>
        <v>5</v>
      </c>
      <c r="F182" s="9">
        <f>'[1]Presupuesto.O&amp;M'!D28*85%</f>
        <v>17892.5</v>
      </c>
      <c r="G182" s="7">
        <f t="shared" si="15"/>
        <v>89462.5</v>
      </c>
      <c r="J182" s="276"/>
      <c r="K182" s="276"/>
      <c r="L182" s="276"/>
    </row>
    <row r="183" spans="1:12" ht="14.45" customHeight="1">
      <c r="A183" s="379"/>
      <c r="B183" s="381" t="s">
        <v>368</v>
      </c>
      <c r="C183" s="381"/>
      <c r="D183" s="19" t="s">
        <v>226</v>
      </c>
      <c r="E183" s="3">
        <f>'[1]Presupuesto.O&amp;M'!J29</f>
        <v>5</v>
      </c>
      <c r="F183" s="9">
        <f>'[1]Presupuesto.O&amp;M'!D29*85%</f>
        <v>18615</v>
      </c>
      <c r="G183" s="7">
        <f t="shared" si="15"/>
        <v>93075</v>
      </c>
      <c r="J183" s="276"/>
      <c r="K183" s="276"/>
      <c r="L183" s="276"/>
    </row>
    <row r="184" spans="1:12" ht="14.45" customHeight="1">
      <c r="A184" s="379"/>
      <c r="B184" s="381" t="s">
        <v>369</v>
      </c>
      <c r="C184" s="381"/>
      <c r="D184" s="19" t="s">
        <v>226</v>
      </c>
      <c r="E184" s="3">
        <f>'[1]Presupuesto.O&amp;M'!J30</f>
        <v>5</v>
      </c>
      <c r="F184" s="9">
        <f>'[1]Presupuesto.O&amp;M'!D30*85%</f>
        <v>6876.5</v>
      </c>
      <c r="G184" s="7">
        <f t="shared" si="15"/>
        <v>34382.5</v>
      </c>
      <c r="J184" s="276"/>
      <c r="K184" s="276"/>
      <c r="L184" s="276"/>
    </row>
    <row r="185" spans="1:12" ht="14.45" customHeight="1">
      <c r="A185" s="379"/>
      <c r="B185" s="381" t="s">
        <v>277</v>
      </c>
      <c r="C185" s="381"/>
      <c r="D185" s="19" t="s">
        <v>226</v>
      </c>
      <c r="E185" s="3">
        <f>'[1]Presupuesto.O&amp;M'!J31</f>
        <v>5</v>
      </c>
      <c r="F185" s="9">
        <f>'[1]Presupuesto.O&amp;M'!D31*85%</f>
        <v>7225</v>
      </c>
      <c r="G185" s="7">
        <f t="shared" si="15"/>
        <v>36125</v>
      </c>
      <c r="J185" s="276"/>
      <c r="K185" s="276"/>
      <c r="L185" s="276"/>
    </row>
    <row r="186" spans="1:12" ht="14.45" customHeight="1">
      <c r="A186" s="379"/>
      <c r="B186" s="387" t="s">
        <v>370</v>
      </c>
      <c r="C186" s="387"/>
      <c r="D186" s="19"/>
      <c r="E186" s="3"/>
      <c r="F186" s="9"/>
      <c r="G186" s="152">
        <f>SUM(G187:G196)</f>
        <v>211458.75</v>
      </c>
      <c r="J186" s="276"/>
      <c r="K186" s="276"/>
      <c r="L186" s="276"/>
    </row>
    <row r="187" spans="1:12" ht="14.45" customHeight="1">
      <c r="A187" s="379"/>
      <c r="B187" s="381" t="s">
        <v>244</v>
      </c>
      <c r="C187" s="381"/>
      <c r="D187" s="19" t="s">
        <v>226</v>
      </c>
      <c r="E187" s="3">
        <f>'[1]Presupuesto.O&amp;M'!J34</f>
        <v>50</v>
      </c>
      <c r="F187" s="9">
        <f>'[1]Presupuesto.O&amp;M'!D34*85%</f>
        <v>127.5</v>
      </c>
      <c r="G187" s="7">
        <f t="shared" ref="G187:G189" si="16">E187*F187</f>
        <v>6375</v>
      </c>
      <c r="J187" s="276"/>
      <c r="K187" s="276"/>
      <c r="L187" s="276"/>
    </row>
    <row r="188" spans="1:12" ht="14.45" customHeight="1">
      <c r="A188" s="379"/>
      <c r="B188" s="381" t="s">
        <v>371</v>
      </c>
      <c r="C188" s="381"/>
      <c r="D188" s="19" t="s">
        <v>226</v>
      </c>
      <c r="E188" s="3">
        <f>'[1]Presupuesto.O&amp;M'!J35</f>
        <v>100</v>
      </c>
      <c r="F188" s="9">
        <f>'[1]Presupuesto.O&amp;M'!D35*85%</f>
        <v>412.25</v>
      </c>
      <c r="G188" s="7">
        <f t="shared" si="16"/>
        <v>41225</v>
      </c>
      <c r="J188" s="276"/>
      <c r="K188" s="276"/>
      <c r="L188" s="276"/>
    </row>
    <row r="189" spans="1:12" ht="14.45" customHeight="1">
      <c r="A189" s="379"/>
      <c r="B189" s="381" t="s">
        <v>279</v>
      </c>
      <c r="C189" s="381"/>
      <c r="D189" s="19" t="s">
        <v>226</v>
      </c>
      <c r="E189" s="3">
        <f>'[1]Presupuesto.O&amp;M'!J36</f>
        <v>100</v>
      </c>
      <c r="F189" s="9">
        <f>'[1]Presupuesto.O&amp;M'!D36*85%</f>
        <v>170</v>
      </c>
      <c r="G189" s="7">
        <f t="shared" si="16"/>
        <v>17000</v>
      </c>
      <c r="J189" s="276"/>
      <c r="K189" s="276"/>
      <c r="L189" s="276"/>
    </row>
    <row r="190" spans="1:12" ht="14.45" customHeight="1">
      <c r="A190" s="379"/>
      <c r="B190" s="381" t="s">
        <v>280</v>
      </c>
      <c r="C190" s="381"/>
      <c r="D190" s="19" t="s">
        <v>226</v>
      </c>
      <c r="E190" s="3">
        <f>'[1]Presupuesto.O&amp;M'!J37</f>
        <v>100</v>
      </c>
      <c r="F190" s="9">
        <f>'[1]Presupuesto.O&amp;M'!D37*85%</f>
        <v>255</v>
      </c>
      <c r="G190" s="7">
        <f t="shared" si="15"/>
        <v>25500</v>
      </c>
      <c r="J190" s="276"/>
      <c r="K190" s="276"/>
      <c r="L190" s="276"/>
    </row>
    <row r="191" spans="1:12" ht="14.45" customHeight="1">
      <c r="A191" s="379"/>
      <c r="B191" s="381" t="s">
        <v>247</v>
      </c>
      <c r="C191" s="381"/>
      <c r="D191" s="19" t="s">
        <v>226</v>
      </c>
      <c r="E191" s="3">
        <f>'[1]Presupuesto.O&amp;M'!J38</f>
        <v>100</v>
      </c>
      <c r="F191" s="9">
        <f>'[1]Presupuesto.O&amp;M'!D38*85%</f>
        <v>243.1</v>
      </c>
      <c r="G191" s="7">
        <f t="shared" si="15"/>
        <v>24310</v>
      </c>
      <c r="J191" s="276"/>
      <c r="K191" s="276"/>
      <c r="L191" s="276"/>
    </row>
    <row r="192" spans="1:12" ht="14.45" customHeight="1">
      <c r="A192" s="379"/>
      <c r="B192" s="381" t="s">
        <v>372</v>
      </c>
      <c r="C192" s="381"/>
      <c r="D192" s="19" t="s">
        <v>226</v>
      </c>
      <c r="E192" s="3">
        <f>'[1]Presupuesto.O&amp;M'!J39</f>
        <v>50</v>
      </c>
      <c r="F192" s="9">
        <f>'[1]Presupuesto.O&amp;M'!D39*85%</f>
        <v>345.09999999999997</v>
      </c>
      <c r="G192" s="7">
        <f t="shared" si="15"/>
        <v>17255</v>
      </c>
      <c r="J192" s="276"/>
      <c r="K192" s="276"/>
      <c r="L192" s="276"/>
    </row>
    <row r="193" spans="1:12" ht="15" customHeight="1">
      <c r="A193" s="379"/>
      <c r="B193" s="381" t="s">
        <v>373</v>
      </c>
      <c r="C193" s="381"/>
      <c r="D193" s="19" t="s">
        <v>226</v>
      </c>
      <c r="E193" s="3">
        <f>'[1]Presupuesto.O&amp;M'!J40</f>
        <v>50</v>
      </c>
      <c r="F193" s="9">
        <f>'[1]Presupuesto.O&amp;M'!D40*85%</f>
        <v>63.75</v>
      </c>
      <c r="G193" s="7">
        <f t="shared" si="15"/>
        <v>3187.5</v>
      </c>
      <c r="J193" s="276"/>
      <c r="K193" s="276"/>
      <c r="L193" s="276"/>
    </row>
    <row r="194" spans="1:12" ht="15" customHeight="1">
      <c r="A194" s="379"/>
      <c r="B194" s="381" t="s">
        <v>374</v>
      </c>
      <c r="C194" s="381"/>
      <c r="D194" s="19" t="s">
        <v>226</v>
      </c>
      <c r="E194" s="3">
        <f>'[1]Presupuesto.O&amp;M'!J41</f>
        <v>75</v>
      </c>
      <c r="F194" s="9">
        <f>'[1]Presupuesto.O&amp;M'!D41*85%</f>
        <v>437.75</v>
      </c>
      <c r="G194" s="7">
        <f t="shared" si="15"/>
        <v>32831.25</v>
      </c>
      <c r="J194" s="276"/>
      <c r="K194" s="276"/>
      <c r="L194" s="276"/>
    </row>
    <row r="195" spans="1:12" ht="15" customHeight="1">
      <c r="A195" s="379"/>
      <c r="B195" s="381" t="s">
        <v>285</v>
      </c>
      <c r="C195" s="381"/>
      <c r="D195" s="19" t="s">
        <v>226</v>
      </c>
      <c r="E195" s="3">
        <f>'[1]Presupuesto.O&amp;M'!J42</f>
        <v>100</v>
      </c>
      <c r="F195" s="9">
        <f>'[1]Presupuesto.O&amp;M'!D42*85%</f>
        <v>246.5</v>
      </c>
      <c r="G195" s="7">
        <f t="shared" si="15"/>
        <v>24650</v>
      </c>
      <c r="J195" s="276"/>
      <c r="K195" s="276"/>
      <c r="L195" s="276"/>
    </row>
    <row r="196" spans="1:12" ht="15" customHeight="1">
      <c r="A196" s="379"/>
      <c r="B196" s="381" t="s">
        <v>286</v>
      </c>
      <c r="C196" s="381"/>
      <c r="D196" s="19" t="s">
        <v>226</v>
      </c>
      <c r="E196" s="3">
        <f>'[1]Presupuesto.O&amp;M'!J43</f>
        <v>100</v>
      </c>
      <c r="F196" s="9">
        <f>'[1]Presupuesto.O&amp;M'!D43*85%</f>
        <v>191.25</v>
      </c>
      <c r="G196" s="7">
        <f t="shared" si="15"/>
        <v>19125</v>
      </c>
      <c r="J196" s="276"/>
      <c r="K196" s="276"/>
      <c r="L196" s="276"/>
    </row>
    <row r="197" spans="1:12" ht="15" customHeight="1">
      <c r="A197" s="379"/>
      <c r="B197" s="401" t="s">
        <v>375</v>
      </c>
      <c r="C197" s="402"/>
      <c r="D197" s="19"/>
      <c r="E197" s="3"/>
      <c r="F197" s="9"/>
      <c r="G197" s="8">
        <f>SUM(G198:G199)</f>
        <v>400000</v>
      </c>
      <c r="J197" s="276"/>
      <c r="K197" s="276"/>
      <c r="L197" s="276"/>
    </row>
    <row r="198" spans="1:12" ht="15" customHeight="1">
      <c r="A198" s="379"/>
      <c r="B198" s="381" t="s">
        <v>376</v>
      </c>
      <c r="C198" s="381"/>
      <c r="D198" s="19" t="s">
        <v>226</v>
      </c>
      <c r="E198" s="3">
        <v>20</v>
      </c>
      <c r="F198" s="9">
        <f>'[1]2. Assumptions'!D143</f>
        <v>10000</v>
      </c>
      <c r="G198" s="7">
        <f t="shared" si="15"/>
        <v>200000</v>
      </c>
      <c r="J198" s="276"/>
      <c r="K198" s="276"/>
      <c r="L198" s="276"/>
    </row>
    <row r="199" spans="1:12" ht="33" customHeight="1">
      <c r="A199" s="380"/>
      <c r="B199" s="381" t="s">
        <v>377</v>
      </c>
      <c r="C199" s="381"/>
      <c r="D199" s="19" t="s">
        <v>226</v>
      </c>
      <c r="E199" s="3">
        <v>20</v>
      </c>
      <c r="F199" s="9">
        <f>'[1]2. Assumptions'!D144</f>
        <v>10000</v>
      </c>
      <c r="G199" s="7">
        <f t="shared" si="15"/>
        <v>200000</v>
      </c>
      <c r="J199" s="276"/>
      <c r="K199" s="276"/>
      <c r="L199" s="276"/>
    </row>
    <row r="200" spans="1:12" ht="33" customHeight="1">
      <c r="A200" s="382" t="s">
        <v>16</v>
      </c>
      <c r="B200" s="382"/>
      <c r="C200" s="382"/>
      <c r="D200" s="1" t="s">
        <v>220</v>
      </c>
      <c r="E200" s="1" t="s">
        <v>221</v>
      </c>
      <c r="F200" s="1" t="s">
        <v>222</v>
      </c>
      <c r="G200" s="1" t="s">
        <v>223</v>
      </c>
      <c r="J200" s="276"/>
      <c r="K200" s="276"/>
      <c r="L200" s="276"/>
    </row>
    <row r="201" spans="1:12" ht="28.5" customHeight="1">
      <c r="A201" s="378" t="str">
        <f>'1.Detailed budget'!P21</f>
        <v>S</v>
      </c>
      <c r="B201" s="386" t="s">
        <v>378</v>
      </c>
      <c r="C201" s="386"/>
      <c r="D201" s="2"/>
      <c r="E201" s="3"/>
      <c r="F201" s="4"/>
      <c r="G201" s="5">
        <f>G208+G226+G238</f>
        <v>269183.18605119438</v>
      </c>
      <c r="H201" s="149"/>
      <c r="I201" s="149"/>
      <c r="J201" s="276"/>
      <c r="K201" s="276"/>
      <c r="L201" s="276"/>
    </row>
    <row r="202" spans="1:12" ht="28.5" customHeight="1">
      <c r="A202" s="379"/>
      <c r="B202" s="403" t="s">
        <v>254</v>
      </c>
      <c r="C202" s="403"/>
      <c r="D202" s="312"/>
      <c r="E202" s="312"/>
      <c r="F202" s="312"/>
      <c r="G202" s="313"/>
      <c r="J202" s="276"/>
      <c r="K202" s="276"/>
      <c r="L202" s="276"/>
    </row>
    <row r="203" spans="1:12">
      <c r="A203" s="379"/>
      <c r="B203" s="389" t="s">
        <v>255</v>
      </c>
      <c r="C203" s="390"/>
      <c r="D203" s="19" t="s">
        <v>256</v>
      </c>
      <c r="E203" s="3">
        <v>7</v>
      </c>
      <c r="F203" s="9">
        <f>[4]Hoja1!G10*('1.Detailed budget'!$O$20/('1.Detailed budget'!$O$3+'1.Detailed budget'!$O$20))/7</f>
        <v>16378.744152002922</v>
      </c>
      <c r="G203" s="7">
        <f t="shared" ref="G203:G208" si="17">E203*F203</f>
        <v>114651.20906402046</v>
      </c>
      <c r="J203" s="276"/>
      <c r="K203" s="276"/>
      <c r="L203" s="276"/>
    </row>
    <row r="204" spans="1:12">
      <c r="A204" s="379"/>
      <c r="B204" s="389" t="s">
        <v>257</v>
      </c>
      <c r="C204" s="390"/>
      <c r="D204" s="19" t="s">
        <v>256</v>
      </c>
      <c r="E204" s="3">
        <v>7</v>
      </c>
      <c r="F204" s="9">
        <f>[4]Hoja1!G11*('1.Detailed budget'!$O$20/('1.Detailed budget'!$O$3+'1.Detailed budget'!$O$20))/7</f>
        <v>2333.9710416604166</v>
      </c>
      <c r="G204" s="7">
        <f t="shared" si="17"/>
        <v>16337.797291622916</v>
      </c>
      <c r="J204" s="276"/>
      <c r="K204" s="276"/>
      <c r="L204" s="276"/>
    </row>
    <row r="205" spans="1:12">
      <c r="A205" s="379"/>
      <c r="B205" s="389" t="s">
        <v>258</v>
      </c>
      <c r="C205" s="390"/>
      <c r="D205" s="19" t="s">
        <v>256</v>
      </c>
      <c r="E205" s="3">
        <v>7</v>
      </c>
      <c r="F205" s="9">
        <f>[4]Hoja1!G12*('1.Detailed budget'!$O$20/('1.Detailed budget'!$O$3+'1.Detailed budget'!$O$20))/7</f>
        <v>2006.3961586203582</v>
      </c>
      <c r="G205" s="7">
        <f t="shared" si="17"/>
        <v>14044.773110342507</v>
      </c>
      <c r="J205" s="276"/>
      <c r="K205" s="276"/>
      <c r="L205" s="276"/>
    </row>
    <row r="206" spans="1:12">
      <c r="A206" s="379"/>
      <c r="B206" s="389" t="s">
        <v>259</v>
      </c>
      <c r="C206" s="390"/>
      <c r="D206" s="19" t="s">
        <v>256</v>
      </c>
      <c r="E206" s="3">
        <v>7</v>
      </c>
      <c r="F206" s="9">
        <f>[4]Hoja1!G13*('1.Detailed budget'!$O$20/('1.Detailed budget'!$O$3+'1.Detailed budget'!$O$20))/7</f>
        <v>409.46860380007308</v>
      </c>
      <c r="G206" s="7">
        <f t="shared" si="17"/>
        <v>2866.2802266005115</v>
      </c>
      <c r="J206" s="276"/>
      <c r="K206" s="276"/>
      <c r="L206" s="276"/>
    </row>
    <row r="207" spans="1:12">
      <c r="A207" s="379"/>
      <c r="B207" s="389" t="s">
        <v>260</v>
      </c>
      <c r="C207" s="390"/>
      <c r="D207" s="19" t="s">
        <v>256</v>
      </c>
      <c r="E207" s="3">
        <v>7</v>
      </c>
      <c r="F207" s="9">
        <f>[4]Hoja1!G14*('1.Detailed budget'!$O$20/('1.Detailed budget'!$O$3+'1.Detailed budget'!$O$20))/7</f>
        <v>4438.6396651927917</v>
      </c>
      <c r="G207" s="7">
        <f t="shared" si="17"/>
        <v>31070.47765634954</v>
      </c>
      <c r="J207" s="276"/>
      <c r="K207" s="276"/>
      <c r="L207" s="276"/>
    </row>
    <row r="208" spans="1:12">
      <c r="A208" s="379"/>
      <c r="B208" s="376" t="s">
        <v>261</v>
      </c>
      <c r="C208" s="377"/>
      <c r="D208" s="314" t="s">
        <v>256</v>
      </c>
      <c r="E208" s="147">
        <v>7</v>
      </c>
      <c r="F208" s="315">
        <f>([2]Hoja1!$G$15/7)*('1.Detailed budget'!O20/('1.Detailed budget'!O3+'1.Detailed budget'!O20))</f>
        <v>25567.219621276563</v>
      </c>
      <c r="G208" s="148">
        <f t="shared" si="17"/>
        <v>178970.53734893593</v>
      </c>
      <c r="J208" s="276"/>
      <c r="K208" s="276"/>
      <c r="L208" s="276"/>
    </row>
    <row r="209" spans="1:12" ht="29.25" customHeight="1">
      <c r="A209" s="379"/>
      <c r="B209" s="404" t="s">
        <v>262</v>
      </c>
      <c r="C209" s="404"/>
      <c r="D209" s="309"/>
      <c r="E209" s="3"/>
      <c r="F209" s="9"/>
      <c r="G209" s="7"/>
      <c r="J209" s="276"/>
      <c r="K209" s="276"/>
      <c r="L209" s="276"/>
    </row>
    <row r="210" spans="1:12">
      <c r="A210" s="379"/>
      <c r="B210" s="374" t="s">
        <v>232</v>
      </c>
      <c r="C210" s="375"/>
      <c r="D210" s="309" t="s">
        <v>256</v>
      </c>
      <c r="E210" s="3">
        <v>7</v>
      </c>
      <c r="F210" s="9">
        <f>[4]Hoja1!G17*('1.Detailed budget'!$O$20/('1.Detailed budget'!$O$3+'1.Detailed budget'!$O$20))/7</f>
        <v>3993.9216641570156</v>
      </c>
      <c r="G210" s="7">
        <f>E210*F210</f>
        <v>27957.451649099108</v>
      </c>
      <c r="J210" s="276"/>
      <c r="K210" s="276"/>
      <c r="L210" s="276"/>
    </row>
    <row r="211" spans="1:12">
      <c r="A211" s="379"/>
      <c r="B211" s="374" t="s">
        <v>263</v>
      </c>
      <c r="C211" s="375"/>
      <c r="D211" s="309" t="s">
        <v>256</v>
      </c>
      <c r="E211" s="3">
        <v>7</v>
      </c>
      <c r="F211" s="9">
        <f>[4]Hoja1!G18*('1.Detailed budget'!$O$20/('1.Detailed budget'!$O$3+'1.Detailed budget'!$O$20))/7</f>
        <v>313.5359594811988</v>
      </c>
      <c r="G211" s="7">
        <f t="shared" ref="G211:G225" si="18">E211*F211</f>
        <v>2194.7517163683915</v>
      </c>
      <c r="J211" s="276"/>
      <c r="K211" s="276"/>
      <c r="L211" s="276"/>
    </row>
    <row r="212" spans="1:12">
      <c r="A212" s="379"/>
      <c r="B212" s="374" t="s">
        <v>264</v>
      </c>
      <c r="C212" s="375"/>
      <c r="D212" s="309" t="s">
        <v>256</v>
      </c>
      <c r="E212" s="3">
        <v>7</v>
      </c>
      <c r="F212" s="9">
        <f>[4]Hoja1!G19*('1.Detailed budget'!$O$20/('1.Detailed budget'!$O$3+'1.Detailed budget'!$O$20))/7</f>
        <v>102.36715095001827</v>
      </c>
      <c r="G212" s="7">
        <f t="shared" si="18"/>
        <v>716.57005665012787</v>
      </c>
      <c r="J212" s="276"/>
      <c r="K212" s="276"/>
      <c r="L212" s="276"/>
    </row>
    <row r="213" spans="1:12">
      <c r="A213" s="379"/>
      <c r="B213" s="374" t="s">
        <v>265</v>
      </c>
      <c r="C213" s="375"/>
      <c r="D213" s="309" t="s">
        <v>256</v>
      </c>
      <c r="E213" s="3">
        <v>7</v>
      </c>
      <c r="F213" s="9">
        <f>[4]Hoja1!G20*('1.Detailed budget'!$O$20/('1.Detailed budget'!$O$3+'1.Detailed budget'!$O$20))/7</f>
        <v>47.381367011151312</v>
      </c>
      <c r="G213" s="7">
        <f t="shared" si="18"/>
        <v>331.66956907805917</v>
      </c>
      <c r="J213" s="276"/>
      <c r="K213" s="276"/>
      <c r="L213" s="276"/>
    </row>
    <row r="214" spans="1:12">
      <c r="A214" s="379"/>
      <c r="B214" s="374" t="s">
        <v>266</v>
      </c>
      <c r="C214" s="375"/>
      <c r="D214" s="309" t="s">
        <v>256</v>
      </c>
      <c r="E214" s="3">
        <v>7</v>
      </c>
      <c r="F214" s="9">
        <f>[4]Hoja1!G21*('1.Detailed budget'!$O$20/('1.Detailed budget'!$O$3+'1.Detailed budget'!$O$20))/7</f>
        <v>126.35031202973684</v>
      </c>
      <c r="G214" s="7">
        <f t="shared" si="18"/>
        <v>884.45218420815786</v>
      </c>
      <c r="J214" s="276"/>
      <c r="K214" s="276"/>
      <c r="L214" s="276"/>
    </row>
    <row r="215" spans="1:12">
      <c r="A215" s="379"/>
      <c r="B215" s="374" t="s">
        <v>267</v>
      </c>
      <c r="C215" s="375"/>
      <c r="D215" s="309" t="s">
        <v>256</v>
      </c>
      <c r="E215" s="3">
        <v>7</v>
      </c>
      <c r="F215" s="9">
        <f>[4]Hoja1!G22*('1.Detailed budget'!$O$20/('1.Detailed budget'!$O$3+'1.Detailed budget'!$O$20))/7</f>
        <v>912.53003132587708</v>
      </c>
      <c r="G215" s="7">
        <f t="shared" si="18"/>
        <v>6387.7102192811399</v>
      </c>
      <c r="J215" s="276"/>
      <c r="K215" s="276"/>
      <c r="L215" s="276"/>
    </row>
    <row r="216" spans="1:12">
      <c r="A216" s="379"/>
      <c r="B216" s="374" t="s">
        <v>268</v>
      </c>
      <c r="C216" s="375"/>
      <c r="D216" s="309" t="s">
        <v>256</v>
      </c>
      <c r="E216" s="3">
        <v>7</v>
      </c>
      <c r="F216" s="9">
        <f>[4]Hoja1!G23*('1.Detailed budget'!$O$20/('1.Detailed budget'!$O$3+'1.Detailed budget'!$O$20))/7</f>
        <v>315.87578007434206</v>
      </c>
      <c r="G216" s="7">
        <f t="shared" si="18"/>
        <v>2211.1304605203945</v>
      </c>
      <c r="J216" s="276"/>
      <c r="K216" s="276"/>
      <c r="L216" s="276"/>
    </row>
    <row r="217" spans="1:12">
      <c r="A217" s="379"/>
      <c r="B217" s="374" t="s">
        <v>269</v>
      </c>
      <c r="C217" s="375"/>
      <c r="D217" s="309" t="s">
        <v>256</v>
      </c>
      <c r="E217" s="3">
        <v>7</v>
      </c>
      <c r="F217" s="9">
        <f>[4]Hoja1!G24*('1.Detailed budget'!$O$20/('1.Detailed budget'!$O$3+'1.Detailed budget'!$O$20))/7</f>
        <v>67.562319627012059</v>
      </c>
      <c r="G217" s="7">
        <f t="shared" si="18"/>
        <v>472.9362373890844</v>
      </c>
      <c r="J217" s="276"/>
      <c r="K217" s="276"/>
      <c r="L217" s="276"/>
    </row>
    <row r="218" spans="1:12">
      <c r="A218" s="379"/>
      <c r="B218" s="374" t="s">
        <v>270</v>
      </c>
      <c r="C218" s="375"/>
      <c r="D218" s="309" t="s">
        <v>256</v>
      </c>
      <c r="E218" s="3">
        <v>7</v>
      </c>
      <c r="F218" s="9">
        <f>[4]Hoja1!G25*('1.Detailed budget'!$O$20/('1.Detailed budget'!$O$3+'1.Detailed budget'!$O$20))/7</f>
        <v>345.35751954794739</v>
      </c>
      <c r="G218" s="7">
        <f t="shared" si="18"/>
        <v>2417.5026368356316</v>
      </c>
      <c r="J218" s="276"/>
      <c r="K218" s="276"/>
      <c r="L218" s="276"/>
    </row>
    <row r="219" spans="1:12">
      <c r="A219" s="379"/>
      <c r="B219" s="374" t="s">
        <v>271</v>
      </c>
      <c r="C219" s="375"/>
      <c r="D219" s="309" t="s">
        <v>256</v>
      </c>
      <c r="E219" s="3">
        <v>7</v>
      </c>
      <c r="F219" s="9">
        <f>[4]Hoja1!G26*('1.Detailed budget'!$O$20/('1.Detailed budget'!$O$3+'1.Detailed budget'!$O$20))/7</f>
        <v>116.99102965716374</v>
      </c>
      <c r="G219" s="7">
        <f t="shared" si="18"/>
        <v>818.93720760014617</v>
      </c>
      <c r="J219" s="276"/>
      <c r="K219" s="276"/>
      <c r="L219" s="276"/>
    </row>
    <row r="220" spans="1:12">
      <c r="A220" s="379"/>
      <c r="B220" s="374" t="s">
        <v>272</v>
      </c>
      <c r="C220" s="375"/>
      <c r="D220" s="309" t="s">
        <v>256</v>
      </c>
      <c r="E220" s="3">
        <v>7</v>
      </c>
      <c r="F220" s="9">
        <f>[4]Hoja1!G27*('1.Detailed budget'!$O$20/('1.Detailed budget'!$O$3+'1.Detailed budget'!$O$20))/7</f>
        <v>32.757488304005847</v>
      </c>
      <c r="G220" s="7">
        <f t="shared" si="18"/>
        <v>229.30241812804093</v>
      </c>
      <c r="J220" s="276"/>
      <c r="K220" s="276"/>
      <c r="L220" s="276"/>
    </row>
    <row r="221" spans="1:12">
      <c r="A221" s="379"/>
      <c r="B221" s="374" t="s">
        <v>273</v>
      </c>
      <c r="C221" s="375"/>
      <c r="D221" s="309" t="s">
        <v>256</v>
      </c>
      <c r="E221" s="3">
        <v>7</v>
      </c>
      <c r="F221" s="9">
        <f>[4]Hoja1!G28*('1.Detailed budget'!$O$20/('1.Detailed budget'!$O$3+'1.Detailed budget'!$O$20))/7</f>
        <v>179.87370809788925</v>
      </c>
      <c r="G221" s="7">
        <f t="shared" si="18"/>
        <v>1259.1159566852248</v>
      </c>
      <c r="J221" s="276"/>
      <c r="K221" s="276"/>
      <c r="L221" s="276"/>
    </row>
    <row r="222" spans="1:12">
      <c r="A222" s="379"/>
      <c r="B222" s="374" t="s">
        <v>274</v>
      </c>
      <c r="C222" s="375"/>
      <c r="D222" s="309" t="s">
        <v>256</v>
      </c>
      <c r="E222" s="3">
        <v>7</v>
      </c>
      <c r="F222" s="9">
        <f>[4]Hoja1!G29*('1.Detailed budget'!$O$20/('1.Detailed budget'!$O$3+'1.Detailed budget'!$O$20))/7</f>
        <v>615.66529357082413</v>
      </c>
      <c r="G222" s="7">
        <f t="shared" si="18"/>
        <v>4309.6570549957687</v>
      </c>
      <c r="J222" s="276"/>
      <c r="K222" s="276"/>
      <c r="L222" s="276"/>
    </row>
    <row r="223" spans="1:12">
      <c r="A223" s="379"/>
      <c r="B223" s="374" t="s">
        <v>275</v>
      </c>
      <c r="C223" s="375"/>
      <c r="D223" s="309" t="s">
        <v>256</v>
      </c>
      <c r="E223" s="3">
        <v>7</v>
      </c>
      <c r="F223" s="9">
        <f>[4]Hoja1!G30*('1.Detailed budget'!$O$20/('1.Detailed budget'!$O$3+'1.Detailed budget'!$O$20))/7</f>
        <v>640.52588737297151</v>
      </c>
      <c r="G223" s="7">
        <f t="shared" si="18"/>
        <v>4483.6812116108003</v>
      </c>
      <c r="J223" s="276"/>
      <c r="K223" s="276"/>
      <c r="L223" s="276"/>
    </row>
    <row r="224" spans="1:12">
      <c r="A224" s="379"/>
      <c r="B224" s="374" t="s">
        <v>276</v>
      </c>
      <c r="C224" s="375"/>
      <c r="D224" s="309" t="s">
        <v>256</v>
      </c>
      <c r="E224" s="3">
        <v>7</v>
      </c>
      <c r="F224" s="9">
        <f>[4]Hoja1!G31*('1.Detailed budget'!$O$20/('1.Detailed budget'!$O$3+'1.Detailed budget'!$O$20))/7</f>
        <v>236.61435748161367</v>
      </c>
      <c r="G224" s="7">
        <f t="shared" si="18"/>
        <v>1656.3005023712956</v>
      </c>
      <c r="J224" s="276"/>
      <c r="K224" s="276"/>
      <c r="L224" s="276"/>
    </row>
    <row r="225" spans="1:12">
      <c r="A225" s="379"/>
      <c r="B225" s="374" t="s">
        <v>277</v>
      </c>
      <c r="C225" s="375"/>
      <c r="D225" s="309" t="s">
        <v>256</v>
      </c>
      <c r="E225" s="3">
        <v>7</v>
      </c>
      <c r="F225" s="9">
        <f>[4]Hoja1!G32*('1.Detailed budget'!$O$20/('1.Detailed budget'!$O$3+'1.Detailed budget'!$O$20))/7</f>
        <v>248.60593802147292</v>
      </c>
      <c r="G225" s="7">
        <f t="shared" si="18"/>
        <v>1740.2415661503105</v>
      </c>
      <c r="J225" s="276"/>
      <c r="K225" s="276"/>
      <c r="L225" s="276"/>
    </row>
    <row r="226" spans="1:12">
      <c r="A226" s="379"/>
      <c r="B226" s="376" t="s">
        <v>261</v>
      </c>
      <c r="C226" s="377"/>
      <c r="D226" s="316" t="s">
        <v>256</v>
      </c>
      <c r="E226" s="147">
        <v>7</v>
      </c>
      <c r="F226" s="315">
        <f>([2]Hoja1!$G$33/7)*('1.Detailed budget'!O20/('1.Detailed budget'!O3+'1.Detailed budget'!O20))</f>
        <v>8295.9158067102398</v>
      </c>
      <c r="G226" s="148">
        <f>E226*F226</f>
        <v>58071.410646971679</v>
      </c>
      <c r="J226" s="276"/>
      <c r="K226" s="276"/>
      <c r="L226" s="276"/>
    </row>
    <row r="227" spans="1:12" ht="33" customHeight="1">
      <c r="A227" s="379"/>
      <c r="B227" s="404" t="s">
        <v>379</v>
      </c>
      <c r="C227" s="404"/>
      <c r="D227" s="311"/>
      <c r="E227" s="21"/>
      <c r="F227" s="310"/>
      <c r="G227" s="8"/>
      <c r="J227" s="276"/>
      <c r="K227" s="276"/>
      <c r="L227" s="276"/>
    </row>
    <row r="228" spans="1:12">
      <c r="A228" s="379"/>
      <c r="B228" s="374" t="s">
        <v>244</v>
      </c>
      <c r="C228" s="375"/>
      <c r="D228" s="309" t="s">
        <v>256</v>
      </c>
      <c r="E228" s="3">
        <v>7</v>
      </c>
      <c r="F228" s="9">
        <f>[4]Hoja1!G35*('1.Detailed budget'!$O$20/('1.Detailed budget'!$O$3+'1.Detailed budget'!$O$20))/7</f>
        <v>87.743272242872791</v>
      </c>
      <c r="G228" s="7">
        <f>E228*F228</f>
        <v>614.20290570010957</v>
      </c>
      <c r="J228" s="276"/>
      <c r="K228" s="276"/>
      <c r="L228" s="276"/>
    </row>
    <row r="229" spans="1:12">
      <c r="A229" s="379"/>
      <c r="B229" s="374" t="s">
        <v>245</v>
      </c>
      <c r="C229" s="375"/>
      <c r="D229" s="309" t="s">
        <v>256</v>
      </c>
      <c r="E229" s="3">
        <v>7</v>
      </c>
      <c r="F229" s="9">
        <f>[4]Hoja1!G36*('1.Detailed budget'!$O$20/('1.Detailed budget'!$O$3+'1.Detailed budget'!$O$20))/7</f>
        <v>851.10974075586626</v>
      </c>
      <c r="G229" s="7">
        <f t="shared" ref="G229:G237" si="19">E229*F229</f>
        <v>5957.7681852910637</v>
      </c>
      <c r="J229" s="276"/>
      <c r="K229" s="276"/>
      <c r="L229" s="276"/>
    </row>
    <row r="230" spans="1:12">
      <c r="A230" s="379"/>
      <c r="B230" s="374" t="s">
        <v>279</v>
      </c>
      <c r="C230" s="375"/>
      <c r="D230" s="309" t="s">
        <v>256</v>
      </c>
      <c r="E230" s="3">
        <v>7</v>
      </c>
      <c r="F230" s="9">
        <f>[4]Hoja1!G37*('1.Detailed budget'!$O$20/('1.Detailed budget'!$O$3+'1.Detailed budget'!$O$20))/7</f>
        <v>350.97308897149117</v>
      </c>
      <c r="G230" s="7">
        <f t="shared" si="19"/>
        <v>2456.8116228004383</v>
      </c>
      <c r="J230" s="276"/>
      <c r="K230" s="276"/>
      <c r="L230" s="276"/>
    </row>
    <row r="231" spans="1:12">
      <c r="A231" s="379"/>
      <c r="B231" s="374" t="s">
        <v>280</v>
      </c>
      <c r="C231" s="375"/>
      <c r="D231" s="309" t="s">
        <v>256</v>
      </c>
      <c r="E231" s="3">
        <v>7</v>
      </c>
      <c r="F231" s="9">
        <f>[4]Hoja1!G38*('1.Detailed budget'!$O$20/('1.Detailed budget'!$O$3+'1.Detailed budget'!$O$20))/7</f>
        <v>701.94617794298233</v>
      </c>
      <c r="G231" s="7">
        <f t="shared" si="19"/>
        <v>4913.6232456008765</v>
      </c>
      <c r="J231" s="276"/>
      <c r="K231" s="276"/>
      <c r="L231" s="276"/>
    </row>
    <row r="232" spans="1:12">
      <c r="A232" s="379"/>
      <c r="B232" s="374" t="s">
        <v>281</v>
      </c>
      <c r="C232" s="375"/>
      <c r="D232" s="309" t="s">
        <v>256</v>
      </c>
      <c r="E232" s="3">
        <v>7</v>
      </c>
      <c r="F232" s="9">
        <f>[4]Hoja1!G39*('1.Detailed budget'!$O$20/('1.Detailed budget'!$O$3+'1.Detailed budget'!$O$20))/7</f>
        <v>501.89151722923242</v>
      </c>
      <c r="G232" s="7">
        <f t="shared" si="19"/>
        <v>3513.2406206046271</v>
      </c>
      <c r="J232" s="276"/>
      <c r="K232" s="276"/>
      <c r="L232" s="276"/>
    </row>
    <row r="233" spans="1:12">
      <c r="A233" s="379"/>
      <c r="B233" s="374" t="s">
        <v>282</v>
      </c>
      <c r="C233" s="375"/>
      <c r="D233" s="309" t="s">
        <v>256</v>
      </c>
      <c r="E233" s="3">
        <v>7</v>
      </c>
      <c r="F233" s="9">
        <f>[4]Hoja1!G40*('1.Detailed budget'!$O$20/('1.Detailed budget'!$O$3+'1.Detailed budget'!$O$20))/7</f>
        <v>356.23768530606361</v>
      </c>
      <c r="G233" s="7">
        <f t="shared" si="19"/>
        <v>2493.6637971424452</v>
      </c>
      <c r="J233" s="276"/>
      <c r="K233" s="276"/>
      <c r="L233" s="276"/>
    </row>
    <row r="234" spans="1:12">
      <c r="A234" s="379"/>
      <c r="B234" s="374" t="s">
        <v>283</v>
      </c>
      <c r="C234" s="375"/>
      <c r="D234" s="309" t="s">
        <v>256</v>
      </c>
      <c r="E234" s="3">
        <v>7</v>
      </c>
      <c r="F234" s="9">
        <f>[4]Hoja1!G41*('1.Detailed budget'!$O$20/('1.Detailed budget'!$O$3+'1.Detailed budget'!$O$20))/7</f>
        <v>65.807454182154601</v>
      </c>
      <c r="G234" s="7">
        <f t="shared" si="19"/>
        <v>460.65217927508218</v>
      </c>
      <c r="J234" s="276"/>
      <c r="K234" s="276"/>
      <c r="L234" s="276"/>
    </row>
    <row r="235" spans="1:12">
      <c r="A235" s="379"/>
      <c r="B235" s="374" t="s">
        <v>284</v>
      </c>
      <c r="C235" s="375"/>
      <c r="D235" s="309" t="s">
        <v>256</v>
      </c>
      <c r="E235" s="3">
        <v>7</v>
      </c>
      <c r="F235" s="9">
        <f>[4]Hoja1!G42*('1.Detailed budget'!$O$20/('1.Detailed budget'!$O$3+'1.Detailed budget'!$O$20))/7</f>
        <v>602.50380273439328</v>
      </c>
      <c r="G235" s="7">
        <f t="shared" si="19"/>
        <v>4217.5266191407527</v>
      </c>
      <c r="J235" s="276"/>
      <c r="K235" s="276"/>
      <c r="L235" s="276"/>
    </row>
    <row r="236" spans="1:12">
      <c r="A236" s="379"/>
      <c r="B236" s="374" t="s">
        <v>285</v>
      </c>
      <c r="C236" s="375"/>
      <c r="D236" s="309" t="s">
        <v>256</v>
      </c>
      <c r="E236" s="3">
        <v>7</v>
      </c>
      <c r="F236" s="9">
        <f>[4]Hoja1!G43*('1.Detailed budget'!$O$20/('1.Detailed budget'!$O$3+'1.Detailed budget'!$O$20))/7</f>
        <v>678.54797201154975</v>
      </c>
      <c r="G236" s="7">
        <f t="shared" si="19"/>
        <v>4749.835804080848</v>
      </c>
      <c r="J236" s="276"/>
      <c r="K236" s="276"/>
      <c r="L236" s="276"/>
    </row>
    <row r="237" spans="1:12">
      <c r="A237" s="379"/>
      <c r="B237" s="374" t="s">
        <v>286</v>
      </c>
      <c r="C237" s="375"/>
      <c r="D237" s="309" t="s">
        <v>256</v>
      </c>
      <c r="E237" s="3">
        <v>7</v>
      </c>
      <c r="F237" s="9">
        <f>[4]Hoja1!G44*('1.Detailed budget'!$O$20/('1.Detailed budget'!$O$3+'1.Detailed budget'!$O$20))/7</f>
        <v>394.8447250929276</v>
      </c>
      <c r="G237" s="7">
        <f t="shared" si="19"/>
        <v>2763.9130756504933</v>
      </c>
      <c r="J237" s="276"/>
      <c r="K237" s="276"/>
      <c r="L237" s="276"/>
    </row>
    <row r="238" spans="1:12">
      <c r="A238" s="380"/>
      <c r="B238" s="376" t="s">
        <v>261</v>
      </c>
      <c r="C238" s="377"/>
      <c r="D238" s="316" t="s">
        <v>256</v>
      </c>
      <c r="E238" s="147">
        <v>7</v>
      </c>
      <c r="F238" s="315">
        <f>([2]Hoja1!$G$47/7)*('1.Detailed budget'!O20/('1.Detailed budget'!O3+'1.Detailed budget'!O20))</f>
        <v>4591.6054364695337</v>
      </c>
      <c r="G238" s="148">
        <f t="shared" ref="G238" si="20">E238*F238</f>
        <v>32141.238055286736</v>
      </c>
      <c r="J238" s="276"/>
      <c r="K238" s="276"/>
      <c r="L238" s="276"/>
    </row>
    <row r="239" spans="1:12" ht="29.1">
      <c r="A239" s="382" t="s">
        <v>16</v>
      </c>
      <c r="B239" s="382"/>
      <c r="C239" s="382"/>
      <c r="D239" s="1" t="s">
        <v>220</v>
      </c>
      <c r="E239" s="1" t="s">
        <v>221</v>
      </c>
      <c r="F239" s="1" t="s">
        <v>222</v>
      </c>
      <c r="G239" s="1" t="s">
        <v>223</v>
      </c>
      <c r="J239" s="276"/>
      <c r="K239" s="276"/>
      <c r="L239" s="276"/>
    </row>
    <row r="240" spans="1:12" ht="49.5" customHeight="1">
      <c r="A240" s="383" t="str">
        <f>'1.Detailed budget'!P22</f>
        <v>T</v>
      </c>
      <c r="B240" s="384" t="s">
        <v>380</v>
      </c>
      <c r="C240" s="384"/>
      <c r="D240" s="2"/>
      <c r="E240" s="3"/>
      <c r="F240" s="7"/>
      <c r="G240" s="5">
        <f>SUM(G241:G242)</f>
        <v>6056743.0189999994</v>
      </c>
      <c r="H240" s="149"/>
      <c r="I240" s="149"/>
      <c r="J240" s="276"/>
      <c r="K240" s="276"/>
      <c r="L240" s="276"/>
    </row>
    <row r="241" spans="1:12" ht="15" customHeight="1">
      <c r="A241" s="383"/>
      <c r="B241" s="384" t="s">
        <v>381</v>
      </c>
      <c r="C241" s="384"/>
      <c r="D241" s="2" t="s">
        <v>294</v>
      </c>
      <c r="E241" s="3">
        <f>'[1]17a. Annex M 5 SILLEC - Bebeder'!G352+'[1]17a. Annex M 5 SILLEC - Bebeder'!G353+'[1]17a. Annex M 5 SILLEC - Bebeder'!G357+'[1]17b. Annex M5 - Reservorio'!G352+'[1]17b. Annex M5 - Reservorio'!G353+'[1]17b. Annex M5 - Reservorio'!G357+'[1]17c. Annex M5 SILLEC - Manejo'!G352+'[1]17c. Annex M5 SILLEC - Manejo'!G353+'[1]17c. Annex M5 SILLEC - Manejo'!G357+'[1]18a. Annex M6 SILSOM - Bebedero'!G292+'[1]18a. Annex M6 SILSOM - Bebedero'!G293+'[1]18a. Annex M6 SILSOM - Bebedero'!G296+'[1]18b. Annex M6 - Reservorio'!G292+'[1]18b. Annex M6 - Reservorio'!G293+'[1]18b. Annex M6 - Reservorio'!G296+'[1]18c. Annex M6 SILSOM - Manejo'!G292+'[1]18c. Annex M6 SILSOM - Manejo'!G293+'[1]18c. Annex M6 SILSOM - Manejo'!G296</f>
        <v>2445280</v>
      </c>
      <c r="F241" s="9">
        <f>G241/E241</f>
        <v>2</v>
      </c>
      <c r="G241" s="16">
        <f>'[1]17a. Annex M 5 SILLEC - Bebeder'!I352+'[1]17a. Annex M 5 SILLEC - Bebeder'!I353+'[1]17a. Annex M 5 SILLEC - Bebeder'!I357+'[1]17b. Annex M5 - Reservorio'!I352+'[1]17b. Annex M5 - Reservorio'!I353+'[1]17b. Annex M5 - Reservorio'!I357+'[1]17c. Annex M5 SILLEC - Manejo'!I352+'[1]17c. Annex M5 SILLEC - Manejo'!I353+'[1]17c. Annex M5 SILLEC - Manejo'!I357+'[1]18a. Annex M6 SILSOM - Bebedero'!I292+'[1]18a. Annex M6 SILSOM - Bebedero'!I293+'[1]18a. Annex M6 SILSOM - Bebedero'!I296+'[1]18b. Annex M6 - Reservorio'!I292+'[1]18b. Annex M6 - Reservorio'!I293+'[1]18b. Annex M6 - Reservorio'!I296+'[1]18c. Annex M6 SILSOM - Manejo'!I292+'[1]18c. Annex M6 SILSOM - Manejo'!I293+'[1]18c. Annex M6 SILSOM - Manejo'!I296</f>
        <v>4890560</v>
      </c>
      <c r="J241" s="276"/>
      <c r="K241" s="276"/>
      <c r="L241" s="276"/>
    </row>
    <row r="242" spans="1:12" ht="27.95" customHeight="1">
      <c r="A242" s="383"/>
      <c r="B242" s="384" t="s">
        <v>382</v>
      </c>
      <c r="C242" s="384"/>
      <c r="D242" s="2" t="s">
        <v>383</v>
      </c>
      <c r="E242" s="3">
        <v>1151420.7</v>
      </c>
      <c r="F242" s="22">
        <f>G242/E242</f>
        <v>1.0128209602276561</v>
      </c>
      <c r="G242" s="23">
        <v>1166183.0189999999</v>
      </c>
      <c r="J242" s="276"/>
      <c r="K242" s="276"/>
      <c r="L242" s="276"/>
    </row>
    <row r="243" spans="1:12" ht="30.75" customHeight="1">
      <c r="A243" s="382" t="s">
        <v>16</v>
      </c>
      <c r="B243" s="382"/>
      <c r="C243" s="382"/>
      <c r="D243" s="1" t="s">
        <v>220</v>
      </c>
      <c r="E243" s="1" t="s">
        <v>221</v>
      </c>
      <c r="F243" s="1" t="s">
        <v>222</v>
      </c>
      <c r="G243" s="1" t="s">
        <v>223</v>
      </c>
      <c r="J243" s="276"/>
      <c r="K243" s="276"/>
      <c r="L243" s="276"/>
    </row>
    <row r="244" spans="1:12" ht="30.75" customHeight="1">
      <c r="A244" s="383" t="str">
        <f>'1.Detailed budget'!P23</f>
        <v>U</v>
      </c>
      <c r="B244" s="384" t="s">
        <v>384</v>
      </c>
      <c r="C244" s="384"/>
      <c r="D244" s="2"/>
      <c r="E244" s="3"/>
      <c r="F244" s="7"/>
      <c r="G244" s="5">
        <f>SUM(G245:G246)</f>
        <v>2224860</v>
      </c>
      <c r="H244" s="149"/>
      <c r="I244" s="149"/>
      <c r="J244" s="276"/>
      <c r="K244" s="276"/>
      <c r="L244" s="276"/>
    </row>
    <row r="245" spans="1:12" ht="66.75" customHeight="1">
      <c r="A245" s="383"/>
      <c r="B245" s="384" t="s">
        <v>385</v>
      </c>
      <c r="C245" s="384"/>
      <c r="D245" s="6" t="s">
        <v>226</v>
      </c>
      <c r="E245" s="24">
        <f>'[1]17a. Annex M 5 SILLEC - Bebeder'!G365+'[1]17b. Annex M5 - Reservorio'!G365+'[1]17c. Annex M5 SILLEC - Manejo'!G365</f>
        <v>1752</v>
      </c>
      <c r="F245" s="7">
        <f>'[1]17a. Annex M 5 SILLEC - Bebeder'!H365</f>
        <v>660</v>
      </c>
      <c r="G245" s="17">
        <f t="shared" ref="G245:G246" si="21">E245*F245</f>
        <v>1156320</v>
      </c>
      <c r="J245" s="276"/>
      <c r="K245" s="276"/>
      <c r="L245" s="276"/>
    </row>
    <row r="246" spans="1:12">
      <c r="A246" s="383"/>
      <c r="B246" s="384" t="s">
        <v>386</v>
      </c>
      <c r="C246" s="384"/>
      <c r="D246" s="6" t="s">
        <v>226</v>
      </c>
      <c r="E246" s="24">
        <f>'[1]18a. Annex M6 SILSOM - Bebedero'!G305+'[1]18b. Annex M6 - Reservorio'!G306+'[1]18c. Annex M6 SILSOM - Manejo'!G306</f>
        <v>1619</v>
      </c>
      <c r="F246" s="7">
        <f>'[1]18a. Annex M6 SILSOM - Bebedero'!H305</f>
        <v>660</v>
      </c>
      <c r="G246" s="17">
        <f t="shared" si="21"/>
        <v>1068540</v>
      </c>
      <c r="J246" s="276"/>
      <c r="K246" s="276"/>
      <c r="L246" s="276"/>
    </row>
    <row r="247" spans="1:12" ht="29.1">
      <c r="A247" s="382" t="s">
        <v>16</v>
      </c>
      <c r="B247" s="382"/>
      <c r="C247" s="382"/>
      <c r="D247" s="1" t="s">
        <v>220</v>
      </c>
      <c r="E247" s="1" t="s">
        <v>221</v>
      </c>
      <c r="F247" s="1" t="s">
        <v>222</v>
      </c>
      <c r="G247" s="1" t="s">
        <v>223</v>
      </c>
      <c r="J247" s="276"/>
      <c r="K247" s="276"/>
      <c r="L247" s="276"/>
    </row>
    <row r="248" spans="1:12" ht="48" customHeight="1">
      <c r="A248" s="383" t="str">
        <f>'1.Detailed budget'!P24</f>
        <v>V</v>
      </c>
      <c r="B248" s="384" t="s">
        <v>387</v>
      </c>
      <c r="C248" s="384"/>
      <c r="D248" s="2"/>
      <c r="E248" s="3"/>
      <c r="F248" s="4"/>
      <c r="G248" s="5">
        <f>SUM(G249:G249)</f>
        <v>158738.58000000002</v>
      </c>
      <c r="H248" s="149"/>
      <c r="I248" s="149"/>
      <c r="J248" s="276"/>
      <c r="K248" s="276"/>
      <c r="L248" s="276"/>
    </row>
    <row r="249" spans="1:12">
      <c r="A249" s="383"/>
      <c r="B249" s="381" t="s">
        <v>388</v>
      </c>
      <c r="C249" s="381"/>
      <c r="D249" s="19" t="s">
        <v>294</v>
      </c>
      <c r="E249" s="3">
        <f>'[1]18a. Annex M6 SILSOM - Bebedero'!G295+'[1]18b. Annex M6 - Reservorio'!G295+'[1]18c. Annex M6 SILSOM - Manejo'!G295</f>
        <v>339185</v>
      </c>
      <c r="F249" s="9">
        <f>'[1]18a. Annex M6 SILSOM - Bebedero'!H295</f>
        <v>0.46800000000000003</v>
      </c>
      <c r="G249" s="7">
        <f>E249*F249</f>
        <v>158738.58000000002</v>
      </c>
      <c r="J249" s="276"/>
      <c r="K249" s="276"/>
      <c r="L249" s="276"/>
    </row>
    <row r="250" spans="1:12" ht="29.1">
      <c r="A250" s="382" t="s">
        <v>16</v>
      </c>
      <c r="B250" s="382"/>
      <c r="C250" s="382"/>
      <c r="D250" s="1" t="s">
        <v>220</v>
      </c>
      <c r="E250" s="1" t="s">
        <v>221</v>
      </c>
      <c r="F250" s="1" t="s">
        <v>222</v>
      </c>
      <c r="G250" s="1" t="s">
        <v>223</v>
      </c>
      <c r="J250" s="276"/>
      <c r="K250" s="276"/>
      <c r="L250" s="276"/>
    </row>
    <row r="251" spans="1:12" ht="65.25" customHeight="1">
      <c r="A251" s="383" t="str">
        <f>'1.Detailed budget'!P25</f>
        <v>W</v>
      </c>
      <c r="B251" s="384" t="s">
        <v>389</v>
      </c>
      <c r="C251" s="384"/>
      <c r="D251" s="2"/>
      <c r="E251" s="3"/>
      <c r="F251" s="4"/>
      <c r="G251" s="5">
        <f>SUM(G252:G252)</f>
        <v>4500</v>
      </c>
      <c r="H251" s="149"/>
      <c r="I251" s="149"/>
      <c r="J251" s="276"/>
      <c r="K251" s="276"/>
      <c r="L251" s="276"/>
    </row>
    <row r="252" spans="1:12">
      <c r="A252" s="383"/>
      <c r="B252" s="381" t="s">
        <v>390</v>
      </c>
      <c r="C252" s="381"/>
      <c r="D252" s="19" t="s">
        <v>328</v>
      </c>
      <c r="E252" s="3">
        <v>1</v>
      </c>
      <c r="F252" s="9">
        <v>4500</v>
      </c>
      <c r="G252" s="7">
        <f>E252*F252</f>
        <v>4500</v>
      </c>
      <c r="J252" s="276"/>
      <c r="K252" s="276"/>
      <c r="L252" s="276"/>
    </row>
    <row r="253" spans="1:12" ht="29.1">
      <c r="A253" s="382" t="s">
        <v>16</v>
      </c>
      <c r="B253" s="382"/>
      <c r="C253" s="382"/>
      <c r="D253" s="1" t="s">
        <v>220</v>
      </c>
      <c r="E253" s="1" t="s">
        <v>221</v>
      </c>
      <c r="F253" s="1" t="s">
        <v>222</v>
      </c>
      <c r="G253" s="1" t="s">
        <v>223</v>
      </c>
      <c r="J253" s="276"/>
      <c r="K253" s="276"/>
      <c r="L253" s="276"/>
    </row>
    <row r="254" spans="1:12" ht="70.5" customHeight="1">
      <c r="A254" s="383" t="str">
        <f>'1.Detailed budget'!P26</f>
        <v>X</v>
      </c>
      <c r="B254" s="384" t="s">
        <v>326</v>
      </c>
      <c r="C254" s="384"/>
      <c r="D254" s="2"/>
      <c r="E254" s="3"/>
      <c r="F254" s="4"/>
      <c r="G254" s="5">
        <f>SUM(G255:G255)</f>
        <v>6000</v>
      </c>
      <c r="H254" s="149"/>
      <c r="I254" s="149"/>
      <c r="J254" s="276"/>
      <c r="K254" s="276"/>
      <c r="L254" s="276"/>
    </row>
    <row r="255" spans="1:12" ht="33.75" customHeight="1">
      <c r="A255" s="383"/>
      <c r="B255" s="381" t="s">
        <v>327</v>
      </c>
      <c r="C255" s="381"/>
      <c r="D255" s="19" t="s">
        <v>328</v>
      </c>
      <c r="E255" s="3">
        <v>1</v>
      </c>
      <c r="F255" s="9">
        <v>6000</v>
      </c>
      <c r="G255" s="7">
        <f>E255*F255</f>
        <v>6000</v>
      </c>
      <c r="J255" s="276"/>
      <c r="K255" s="276"/>
      <c r="L255" s="276"/>
    </row>
    <row r="256" spans="1:12" ht="29.1">
      <c r="A256" s="382" t="s">
        <v>16</v>
      </c>
      <c r="B256" s="382"/>
      <c r="C256" s="382"/>
      <c r="D256" s="1" t="s">
        <v>220</v>
      </c>
      <c r="E256" s="1" t="s">
        <v>221</v>
      </c>
      <c r="F256" s="1" t="s">
        <v>222</v>
      </c>
      <c r="G256" s="1" t="s">
        <v>223</v>
      </c>
      <c r="J256" s="276"/>
      <c r="K256" s="276"/>
      <c r="L256" s="276"/>
    </row>
    <row r="257" spans="1:12" ht="49.5" customHeight="1">
      <c r="A257" s="383" t="str">
        <f>'1.Detailed budget'!P27</f>
        <v>Y</v>
      </c>
      <c r="B257" s="386" t="s">
        <v>391</v>
      </c>
      <c r="C257" s="386"/>
      <c r="D257" s="20"/>
      <c r="E257" s="21"/>
      <c r="F257" s="4"/>
      <c r="G257" s="5">
        <f>SUM(G258:G260)</f>
        <v>19500</v>
      </c>
      <c r="H257" s="149"/>
      <c r="I257" s="149"/>
      <c r="J257" s="276"/>
      <c r="K257" s="276"/>
      <c r="L257" s="276"/>
    </row>
    <row r="258" spans="1:12">
      <c r="A258" s="383"/>
      <c r="B258" s="381" t="s">
        <v>330</v>
      </c>
      <c r="C258" s="381"/>
      <c r="D258" s="6" t="s">
        <v>328</v>
      </c>
      <c r="E258" s="3">
        <v>7</v>
      </c>
      <c r="F258" s="7">
        <v>1500</v>
      </c>
      <c r="G258" s="7">
        <f>E258*F258</f>
        <v>10500</v>
      </c>
      <c r="J258" s="276"/>
      <c r="K258" s="276"/>
      <c r="L258" s="276"/>
    </row>
    <row r="259" spans="1:12">
      <c r="A259" s="383"/>
      <c r="B259" s="381" t="s">
        <v>331</v>
      </c>
      <c r="C259" s="381"/>
      <c r="D259" s="6" t="s">
        <v>328</v>
      </c>
      <c r="E259" s="3">
        <v>3</v>
      </c>
      <c r="F259" s="7">
        <v>1500</v>
      </c>
      <c r="G259" s="7">
        <f t="shared" ref="G259:G260" si="22">E259*F259</f>
        <v>4500</v>
      </c>
      <c r="J259" s="276"/>
      <c r="K259" s="276"/>
      <c r="L259" s="276"/>
    </row>
    <row r="260" spans="1:12">
      <c r="A260" s="383"/>
      <c r="B260" s="381" t="s">
        <v>332</v>
      </c>
      <c r="C260" s="381"/>
      <c r="D260" s="6" t="s">
        <v>328</v>
      </c>
      <c r="E260" s="3">
        <v>3</v>
      </c>
      <c r="F260" s="7">
        <v>1500</v>
      </c>
      <c r="G260" s="7">
        <f t="shared" si="22"/>
        <v>4500</v>
      </c>
      <c r="J260" s="276"/>
      <c r="K260" s="276"/>
      <c r="L260" s="276"/>
    </row>
    <row r="261" spans="1:12" ht="29.1">
      <c r="A261" s="382" t="s">
        <v>16</v>
      </c>
      <c r="B261" s="382"/>
      <c r="C261" s="382"/>
      <c r="D261" s="1" t="s">
        <v>220</v>
      </c>
      <c r="E261" s="1" t="s">
        <v>221</v>
      </c>
      <c r="F261" s="1" t="s">
        <v>222</v>
      </c>
      <c r="G261" s="1" t="s">
        <v>223</v>
      </c>
      <c r="J261" s="276"/>
      <c r="K261" s="276"/>
      <c r="L261" s="276"/>
    </row>
    <row r="262" spans="1:12">
      <c r="A262" s="383" t="str">
        <f>'1.Detailed budget'!P28</f>
        <v>Z</v>
      </c>
      <c r="B262" s="384" t="s">
        <v>392</v>
      </c>
      <c r="C262" s="384"/>
      <c r="D262" s="2"/>
      <c r="E262" s="3"/>
      <c r="F262" s="4"/>
      <c r="G262" s="5">
        <f>SUM(G263:G263)</f>
        <v>2000</v>
      </c>
      <c r="H262" s="149"/>
      <c r="I262" s="149"/>
      <c r="J262" s="276"/>
      <c r="K262" s="276"/>
      <c r="L262" s="276"/>
    </row>
    <row r="263" spans="1:12">
      <c r="A263" s="383"/>
      <c r="B263" s="381" t="s">
        <v>334</v>
      </c>
      <c r="C263" s="381"/>
      <c r="D263" s="6" t="s">
        <v>328</v>
      </c>
      <c r="E263" s="3">
        <v>2</v>
      </c>
      <c r="F263" s="7">
        <v>1000</v>
      </c>
      <c r="G263" s="7">
        <f>E263*F263</f>
        <v>2000</v>
      </c>
      <c r="J263" s="276"/>
      <c r="K263" s="276"/>
      <c r="L263" s="276"/>
    </row>
    <row r="264" spans="1:12" ht="29.1">
      <c r="A264" s="382" t="s">
        <v>16</v>
      </c>
      <c r="B264" s="382"/>
      <c r="C264" s="382"/>
      <c r="D264" s="1" t="s">
        <v>220</v>
      </c>
      <c r="E264" s="1" t="s">
        <v>221</v>
      </c>
      <c r="F264" s="1" t="s">
        <v>222</v>
      </c>
      <c r="G264" s="1" t="s">
        <v>223</v>
      </c>
      <c r="J264" s="276"/>
      <c r="K264" s="276"/>
      <c r="L264" s="276"/>
    </row>
    <row r="265" spans="1:12">
      <c r="A265" s="383" t="str">
        <f>'1.Detailed budget'!P29</f>
        <v>AA</v>
      </c>
      <c r="B265" s="384" t="s">
        <v>393</v>
      </c>
      <c r="C265" s="384"/>
      <c r="D265" s="2"/>
      <c r="E265" s="3"/>
      <c r="F265" s="4"/>
      <c r="G265" s="5">
        <f>SUM(G266:G267)</f>
        <v>14000</v>
      </c>
      <c r="H265" s="149"/>
      <c r="I265" s="149"/>
      <c r="J265" s="276"/>
      <c r="K265" s="276"/>
      <c r="L265" s="276"/>
    </row>
    <row r="266" spans="1:12">
      <c r="A266" s="383"/>
      <c r="B266" s="381" t="s">
        <v>336</v>
      </c>
      <c r="C266" s="381"/>
      <c r="D266" s="6" t="s">
        <v>337</v>
      </c>
      <c r="E266" s="3">
        <v>2</v>
      </c>
      <c r="F266" s="7">
        <v>3500</v>
      </c>
      <c r="G266" s="7">
        <f>E266*F266</f>
        <v>7000</v>
      </c>
      <c r="J266" s="276"/>
      <c r="K266" s="276"/>
      <c r="L266" s="276"/>
    </row>
    <row r="267" spans="1:12">
      <c r="A267" s="383"/>
      <c r="B267" s="381" t="s">
        <v>338</v>
      </c>
      <c r="C267" s="381"/>
      <c r="D267" s="6" t="s">
        <v>337</v>
      </c>
      <c r="E267" s="3">
        <v>2</v>
      </c>
      <c r="F267" s="7">
        <v>3500</v>
      </c>
      <c r="G267" s="7">
        <f t="shared" ref="G267" si="23">E267*F267</f>
        <v>7000</v>
      </c>
      <c r="J267" s="276"/>
      <c r="K267" s="276"/>
      <c r="L267" s="276"/>
    </row>
    <row r="268" spans="1:12" ht="29.1">
      <c r="A268" s="382" t="s">
        <v>16</v>
      </c>
      <c r="B268" s="382"/>
      <c r="C268" s="382"/>
      <c r="D268" s="1" t="s">
        <v>220</v>
      </c>
      <c r="E268" s="1" t="s">
        <v>221</v>
      </c>
      <c r="F268" s="1" t="s">
        <v>222</v>
      </c>
      <c r="G268" s="1" t="s">
        <v>223</v>
      </c>
      <c r="J268" s="276"/>
      <c r="K268" s="276"/>
      <c r="L268" s="276"/>
    </row>
    <row r="269" spans="1:12">
      <c r="A269" s="383" t="str">
        <f>'1.Detailed budget'!P30</f>
        <v>AB</v>
      </c>
      <c r="B269" s="384" t="s">
        <v>394</v>
      </c>
      <c r="C269" s="384"/>
      <c r="D269" s="2"/>
      <c r="E269" s="3">
        <f>SUM(E270:E274)</f>
        <v>420</v>
      </c>
      <c r="F269" s="7">
        <v>0</v>
      </c>
      <c r="G269" s="5">
        <f>SUM(G270:G274)</f>
        <v>20638849.826032508</v>
      </c>
      <c r="H269" s="149"/>
      <c r="I269" s="149"/>
      <c r="J269" s="276"/>
      <c r="K269" s="276"/>
      <c r="L269" s="276"/>
    </row>
    <row r="270" spans="1:12">
      <c r="A270" s="383"/>
      <c r="B270" s="10">
        <f>('[1]Cálculos auxiliares'!A5+'[1]Cálculos auxiliares'!A10)*60%*20189/(15554+20189)*70.2%</f>
        <v>550.76098094731833</v>
      </c>
      <c r="C270" s="10" t="s">
        <v>340</v>
      </c>
      <c r="D270" s="2" t="s">
        <v>341</v>
      </c>
      <c r="E270" s="3">
        <f>12*7</f>
        <v>84</v>
      </c>
      <c r="F270" s="7">
        <v>275</v>
      </c>
      <c r="G270" s="11">
        <f>B270*E270*F270</f>
        <v>12722578.659883052</v>
      </c>
      <c r="I270" s="276"/>
      <c r="J270" s="276"/>
      <c r="K270" s="276"/>
      <c r="L270" s="276"/>
    </row>
    <row r="271" spans="1:12">
      <c r="A271" s="383"/>
      <c r="B271" s="10">
        <f>('[1]Cálculos auxiliares'!A5+'[1]Cálculos auxiliares'!A10)*60%*20189/(15554+20189)*15.8%</f>
        <v>123.96044870324259</v>
      </c>
      <c r="C271" s="10" t="s">
        <v>342</v>
      </c>
      <c r="D271" s="2" t="s">
        <v>341</v>
      </c>
      <c r="E271" s="3">
        <f>12*7</f>
        <v>84</v>
      </c>
      <c r="F271" s="7">
        <v>475</v>
      </c>
      <c r="G271" s="11">
        <f>B271*E271*F271</f>
        <v>4946021.9032593798</v>
      </c>
      <c r="I271" s="276"/>
      <c r="J271" s="276"/>
      <c r="K271" s="276"/>
      <c r="L271" s="276"/>
    </row>
    <row r="272" spans="1:12">
      <c r="A272" s="383"/>
      <c r="B272" s="10">
        <f>('[1]Cálculos auxiliares'!A5+'[1]Cálculos auxiliares'!A10)*60%*20189/(15554+20189)*0.2%</f>
        <v>1.5691196038385138</v>
      </c>
      <c r="C272" s="10" t="s">
        <v>343</v>
      </c>
      <c r="D272" s="2" t="s">
        <v>341</v>
      </c>
      <c r="E272" s="3">
        <f>12*7</f>
        <v>84</v>
      </c>
      <c r="F272" s="7">
        <v>375</v>
      </c>
      <c r="G272" s="11">
        <f>B272*E272*F272</f>
        <v>49427.267520913185</v>
      </c>
      <c r="I272" s="276"/>
      <c r="J272" s="276"/>
      <c r="K272" s="276"/>
      <c r="L272" s="276"/>
    </row>
    <row r="273" spans="1:12">
      <c r="A273" s="383"/>
      <c r="B273" s="10">
        <f>('[1]Cálculos auxiliares'!A5+'[1]Cálculos auxiliares'!A10)*60%*20189/(15554+20189)*11.2%</f>
        <v>87.870697814956756</v>
      </c>
      <c r="C273" s="10" t="s">
        <v>344</v>
      </c>
      <c r="D273" s="2" t="s">
        <v>341</v>
      </c>
      <c r="E273" s="3">
        <f>12*7</f>
        <v>84</v>
      </c>
      <c r="F273" s="7">
        <v>275</v>
      </c>
      <c r="G273" s="11">
        <f>B273*E273*F273</f>
        <v>2029813.119525501</v>
      </c>
      <c r="I273" s="276"/>
      <c r="J273" s="276"/>
      <c r="K273" s="276"/>
      <c r="L273" s="276"/>
    </row>
    <row r="274" spans="1:12">
      <c r="A274" s="383"/>
      <c r="B274" s="10">
        <f>('[1]Cálculos auxiliares'!A5+'[1]Cálculos auxiliares'!A10)*60%*20189/(15554+20189)*2.6%</f>
        <v>20.39855484990068</v>
      </c>
      <c r="C274" s="10" t="s">
        <v>345</v>
      </c>
      <c r="D274" s="2" t="s">
        <v>341</v>
      </c>
      <c r="E274" s="3">
        <f>12*7</f>
        <v>84</v>
      </c>
      <c r="F274" s="7">
        <v>520</v>
      </c>
      <c r="G274" s="11">
        <f>B274*E274*F274</f>
        <v>891008.87584366172</v>
      </c>
      <c r="I274" s="276"/>
      <c r="J274" s="276"/>
      <c r="K274" s="276"/>
      <c r="L274" s="276"/>
    </row>
    <row r="275" spans="1:12" ht="29.1">
      <c r="A275" s="382" t="s">
        <v>16</v>
      </c>
      <c r="B275" s="382"/>
      <c r="C275" s="382"/>
      <c r="D275" s="1" t="s">
        <v>220</v>
      </c>
      <c r="E275" s="1" t="s">
        <v>221</v>
      </c>
      <c r="F275" s="1" t="s">
        <v>222</v>
      </c>
      <c r="G275" s="1" t="s">
        <v>223</v>
      </c>
      <c r="J275" s="276"/>
      <c r="K275" s="276"/>
      <c r="L275" s="276"/>
    </row>
    <row r="276" spans="1:12">
      <c r="A276" s="383" t="str">
        <f>'1.Detailed budget'!P31</f>
        <v>AC</v>
      </c>
      <c r="B276" s="394" t="s">
        <v>395</v>
      </c>
      <c r="C276" s="394"/>
      <c r="D276" s="3"/>
      <c r="E276" s="3"/>
      <c r="F276" s="12"/>
      <c r="G276" s="13">
        <f>SUM(G277:G279)</f>
        <v>3726925</v>
      </c>
      <c r="H276" s="149"/>
      <c r="I276" s="149"/>
      <c r="J276" s="276"/>
      <c r="K276" s="276"/>
      <c r="L276" s="276"/>
    </row>
    <row r="277" spans="1:12">
      <c r="A277" s="383"/>
      <c r="B277" s="395" t="s">
        <v>396</v>
      </c>
      <c r="C277" s="395"/>
      <c r="D277" s="14" t="s">
        <v>226</v>
      </c>
      <c r="E277" s="3">
        <f>'[1]17b. Annex M5 - Reservorio'!G364+'[1]18b. Annex M6 - Reservorio'!G305</f>
        <v>700</v>
      </c>
      <c r="F277" s="15">
        <f>'[1]17b. Annex M5 - Reservorio'!H364</f>
        <v>935</v>
      </c>
      <c r="G277" s="16">
        <f>E277*F277</f>
        <v>654500</v>
      </c>
      <c r="J277" s="276"/>
      <c r="K277" s="276"/>
      <c r="L277" s="276"/>
    </row>
    <row r="278" spans="1:12">
      <c r="A278" s="383"/>
      <c r="B278" s="395" t="s">
        <v>397</v>
      </c>
      <c r="C278" s="395"/>
      <c r="D278" s="14" t="s">
        <v>226</v>
      </c>
      <c r="E278" s="3">
        <f>'[1]17a. Annex M 5 SILLEC - Bebeder'!G362+'[1]17b. Annex M5 - Reservorio'!G362+'[1]18a. Annex M6 SILSOM - Bebedero'!G303+'[1]18b. Annex M6 - Reservorio'!G303</f>
        <v>11362</v>
      </c>
      <c r="F278" s="15">
        <v>150</v>
      </c>
      <c r="G278" s="16">
        <f>E278*F278</f>
        <v>1704300</v>
      </c>
      <c r="J278" s="276"/>
      <c r="K278" s="276"/>
      <c r="L278" s="276"/>
    </row>
    <row r="279" spans="1:12">
      <c r="A279" s="383"/>
      <c r="B279" s="395" t="s">
        <v>398</v>
      </c>
      <c r="C279" s="395"/>
      <c r="D279" s="14" t="s">
        <v>226</v>
      </c>
      <c r="E279" s="3">
        <f>'[1]17a. Annex M 5 SILLEC - Bebeder'!G363+'[1]17b. Annex M5 - Reservorio'!G363+'[1]18a. Annex M6 SILSOM - Bebedero'!G304+'[1]18b. Annex M6 - Reservorio'!G304</f>
        <v>2189</v>
      </c>
      <c r="F279" s="15">
        <f>'[1]17a. Annex M 5 SILLEC - Bebeder'!H363</f>
        <v>625</v>
      </c>
      <c r="G279" s="16">
        <f t="shared" ref="G279" si="24">E279*F279</f>
        <v>1368125</v>
      </c>
      <c r="J279" s="276"/>
      <c r="K279" s="276"/>
      <c r="L279" s="276"/>
    </row>
    <row r="280" spans="1:12" ht="29.1">
      <c r="A280" s="382" t="s">
        <v>16</v>
      </c>
      <c r="B280" s="382"/>
      <c r="C280" s="382"/>
      <c r="D280" s="1" t="s">
        <v>220</v>
      </c>
      <c r="E280" s="1" t="s">
        <v>221</v>
      </c>
      <c r="F280" s="1" t="s">
        <v>222</v>
      </c>
      <c r="G280" s="1" t="s">
        <v>223</v>
      </c>
      <c r="J280" s="276"/>
      <c r="K280" s="276"/>
      <c r="L280" s="276"/>
    </row>
    <row r="281" spans="1:12">
      <c r="A281" s="383" t="str">
        <f>'1.Detailed budget'!P32</f>
        <v>AD</v>
      </c>
      <c r="B281" s="384" t="s">
        <v>394</v>
      </c>
      <c r="C281" s="384"/>
      <c r="D281" s="2"/>
      <c r="E281" s="3">
        <f>SUM(E282:E286)</f>
        <v>420</v>
      </c>
      <c r="F281" s="7">
        <v>0</v>
      </c>
      <c r="G281" s="5">
        <f>SUM(G282:G286)</f>
        <v>13759233.217355009</v>
      </c>
      <c r="H281" s="149"/>
      <c r="I281" s="149"/>
      <c r="J281" s="276"/>
      <c r="K281" s="276"/>
      <c r="L281" s="276"/>
    </row>
    <row r="282" spans="1:12">
      <c r="A282" s="383"/>
      <c r="B282" s="10">
        <f>('[1]Cálculos auxiliares'!A5+'[1]Cálculos auxiliares'!A10)*40%*20189/(15554+20189)*70.2%</f>
        <v>367.1739872982123</v>
      </c>
      <c r="C282" s="10" t="s">
        <v>340</v>
      </c>
      <c r="D282" s="2" t="s">
        <v>341</v>
      </c>
      <c r="E282" s="3">
        <f>12*7</f>
        <v>84</v>
      </c>
      <c r="F282" s="7">
        <v>275</v>
      </c>
      <c r="G282" s="11">
        <f>B282*E282*F282</f>
        <v>8481719.1065887045</v>
      </c>
      <c r="J282" s="276"/>
      <c r="K282" s="276"/>
      <c r="L282" s="276"/>
    </row>
    <row r="283" spans="1:12">
      <c r="A283" s="383"/>
      <c r="B283" s="10">
        <f>('[1]Cálculos auxiliares'!A5+'[1]Cálculos auxiliares'!A10)*40%*20189/(15554+20189)*15.8%</f>
        <v>82.64029913549507</v>
      </c>
      <c r="C283" s="10" t="s">
        <v>342</v>
      </c>
      <c r="D283" s="2" t="s">
        <v>341</v>
      </c>
      <c r="E283" s="3">
        <f>12*7</f>
        <v>84</v>
      </c>
      <c r="F283" s="7">
        <v>475</v>
      </c>
      <c r="G283" s="11">
        <f>B283*E283*F283</f>
        <v>3297347.9355062535</v>
      </c>
      <c r="J283" s="276"/>
      <c r="K283" s="276"/>
      <c r="L283" s="276"/>
    </row>
    <row r="284" spans="1:12">
      <c r="A284" s="383"/>
      <c r="B284" s="10">
        <f>('[1]Cálculos auxiliares'!A5+'[1]Cálculos auxiliares'!A10)*40%*20189/(15554+20189)*0.2%</f>
        <v>1.0460797358923426</v>
      </c>
      <c r="C284" s="10" t="s">
        <v>343</v>
      </c>
      <c r="D284" s="2" t="s">
        <v>341</v>
      </c>
      <c r="E284" s="3">
        <f>12*7</f>
        <v>84</v>
      </c>
      <c r="F284" s="7">
        <v>375</v>
      </c>
      <c r="G284" s="11">
        <f>B284*E284*F284</f>
        <v>32951.511680608797</v>
      </c>
      <c r="J284" s="276"/>
      <c r="K284" s="276"/>
      <c r="L284" s="276"/>
    </row>
    <row r="285" spans="1:12">
      <c r="A285" s="383"/>
      <c r="B285" s="10">
        <f>('[1]Cálculos auxiliares'!A5+'[1]Cálculos auxiliares'!A10)*40%*20189/(15554+20189)*11.2%</f>
        <v>58.58046520997118</v>
      </c>
      <c r="C285" s="10" t="s">
        <v>344</v>
      </c>
      <c r="D285" s="2" t="s">
        <v>341</v>
      </c>
      <c r="E285" s="3">
        <f>12*7</f>
        <v>84</v>
      </c>
      <c r="F285" s="7">
        <v>275</v>
      </c>
      <c r="G285" s="11">
        <f>B285*E285*F285</f>
        <v>1353208.7463503343</v>
      </c>
      <c r="J285" s="276"/>
      <c r="K285" s="276"/>
      <c r="L285" s="276"/>
    </row>
    <row r="286" spans="1:12">
      <c r="A286" s="383"/>
      <c r="B286" s="10">
        <f>('[1]Cálculos auxiliares'!A5+'[1]Cálculos auxiliares'!A10)*40%*20189/(15554+20189)*2.6%</f>
        <v>13.599036566600455</v>
      </c>
      <c r="C286" s="10" t="s">
        <v>345</v>
      </c>
      <c r="D286" s="2" t="s">
        <v>341</v>
      </c>
      <c r="E286" s="3">
        <f>12*7</f>
        <v>84</v>
      </c>
      <c r="F286" s="7">
        <v>520</v>
      </c>
      <c r="G286" s="11">
        <f>B286*E286*F286</f>
        <v>594005.91722910793</v>
      </c>
      <c r="J286" s="276"/>
      <c r="K286" s="276"/>
      <c r="L286" s="276"/>
    </row>
    <row r="287" spans="1:12" ht="29.1">
      <c r="A287" s="382" t="s">
        <v>16</v>
      </c>
      <c r="B287" s="382"/>
      <c r="C287" s="382"/>
      <c r="D287" s="1" t="s">
        <v>220</v>
      </c>
      <c r="E287" s="1" t="s">
        <v>221</v>
      </c>
      <c r="F287" s="1" t="s">
        <v>222</v>
      </c>
      <c r="G287" s="1" t="s">
        <v>223</v>
      </c>
      <c r="J287" s="276"/>
      <c r="K287" s="276"/>
      <c r="L287" s="276"/>
    </row>
    <row r="288" spans="1:12">
      <c r="A288" s="383" t="str">
        <f>'1.Detailed budget'!P33</f>
        <v>AE</v>
      </c>
      <c r="B288" s="384" t="s">
        <v>399</v>
      </c>
      <c r="C288" s="384"/>
      <c r="D288" s="2"/>
      <c r="E288" s="3"/>
      <c r="F288" s="7"/>
      <c r="G288" s="5">
        <f>SUM(G289)</f>
        <v>845302.92184087343</v>
      </c>
      <c r="H288" s="149"/>
      <c r="I288" s="149"/>
      <c r="J288" s="276"/>
      <c r="K288" s="276"/>
      <c r="L288" s="276"/>
    </row>
    <row r="289" spans="1:12">
      <c r="A289" s="383"/>
      <c r="B289" s="384" t="s">
        <v>400</v>
      </c>
      <c r="C289" s="384"/>
      <c r="D289" s="2" t="s">
        <v>355</v>
      </c>
      <c r="E289" s="3">
        <f>SUM('[1]17a. Annex M 5 SILLEC - Bebeder'!G346:G351)+SUM('[1]17b. Annex M5 - Reservorio'!G346:G351)+SUM('[1]17c. Annex M5 SILLEC - Manejo'!G346:G351)+SUM('[1]18a. Annex M6 SILSOM - Bebedero'!G281:G291)+SUM('[1]18b. Annex M6 - Reservorio'!G281:G291)+SUM('[1]18c. Annex M6 SILSOM - Manejo'!G281:G291)</f>
        <v>14642578</v>
      </c>
      <c r="F289" s="9">
        <f>G289/E289</f>
        <v>5.7729104932264894E-2</v>
      </c>
      <c r="G289" s="17">
        <f>'[1]Presupuesto Cofinanc. (CUP)'!I52*14643227/34032056</f>
        <v>845302.92184087343</v>
      </c>
      <c r="J289" s="276"/>
      <c r="K289" s="276"/>
      <c r="L289" s="276"/>
    </row>
    <row r="290" spans="1:12" ht="29.1">
      <c r="A290" s="382" t="s">
        <v>16</v>
      </c>
      <c r="B290" s="382"/>
      <c r="C290" s="382"/>
      <c r="D290" s="1" t="s">
        <v>220</v>
      </c>
      <c r="E290" s="1" t="s">
        <v>221</v>
      </c>
      <c r="F290" s="1" t="s">
        <v>222</v>
      </c>
      <c r="G290" s="1" t="s">
        <v>223</v>
      </c>
      <c r="J290" s="276"/>
      <c r="K290" s="276"/>
      <c r="L290" s="276"/>
    </row>
    <row r="291" spans="1:12" ht="57.75" customHeight="1">
      <c r="A291" s="383" t="str">
        <f>'[1]1.Detailed budget'!P34</f>
        <v>AF</v>
      </c>
      <c r="B291" s="386" t="s">
        <v>401</v>
      </c>
      <c r="C291" s="384"/>
      <c r="D291" s="2"/>
      <c r="E291" s="3"/>
      <c r="F291" s="4"/>
      <c r="G291" s="5">
        <f>SUM(G292:G292)</f>
        <v>2209651.2364745014</v>
      </c>
      <c r="H291" s="149"/>
      <c r="I291" s="149"/>
      <c r="J291" s="276"/>
      <c r="K291" s="276"/>
      <c r="L291" s="276"/>
    </row>
    <row r="292" spans="1:12">
      <c r="A292" s="383"/>
      <c r="B292" s="381" t="s">
        <v>361</v>
      </c>
      <c r="C292" s="381"/>
      <c r="D292" s="19" t="s">
        <v>256</v>
      </c>
      <c r="E292" s="3">
        <v>7</v>
      </c>
      <c r="F292" s="9">
        <f>'1.Detailed budget'!H34</f>
        <v>315664.46235350019</v>
      </c>
      <c r="G292" s="7">
        <f>E292*F292</f>
        <v>2209651.2364745014</v>
      </c>
      <c r="J292" s="276"/>
      <c r="K292" s="276"/>
      <c r="L292" s="276"/>
    </row>
    <row r="293" spans="1:12" ht="29.1">
      <c r="A293" s="382" t="s">
        <v>16</v>
      </c>
      <c r="B293" s="382"/>
      <c r="C293" s="382"/>
      <c r="D293" s="1" t="s">
        <v>220</v>
      </c>
      <c r="E293" s="1" t="s">
        <v>221</v>
      </c>
      <c r="F293" s="1" t="s">
        <v>222</v>
      </c>
      <c r="G293" s="1" t="s">
        <v>223</v>
      </c>
      <c r="J293" s="276"/>
      <c r="K293" s="276"/>
      <c r="L293" s="276"/>
    </row>
    <row r="294" spans="1:12" ht="81.75" customHeight="1">
      <c r="A294" s="383" t="str">
        <f>'1.Detailed budget'!P36</f>
        <v>AG</v>
      </c>
      <c r="B294" s="384" t="s">
        <v>402</v>
      </c>
      <c r="C294" s="384"/>
      <c r="D294" s="2"/>
      <c r="E294" s="3"/>
      <c r="F294" s="4"/>
      <c r="G294" s="5">
        <f>SUM(G295:G300)</f>
        <v>18000</v>
      </c>
      <c r="H294" s="149"/>
      <c r="I294" s="149"/>
      <c r="J294" s="276"/>
      <c r="K294" s="276"/>
      <c r="L294" s="276"/>
    </row>
    <row r="295" spans="1:12">
      <c r="A295" s="383"/>
      <c r="B295" s="381" t="s">
        <v>330</v>
      </c>
      <c r="C295" s="381"/>
      <c r="D295" s="6" t="s">
        <v>328</v>
      </c>
      <c r="E295" s="3">
        <v>2</v>
      </c>
      <c r="F295" s="7">
        <v>1500</v>
      </c>
      <c r="G295" s="7">
        <f>E295*F295</f>
        <v>3000</v>
      </c>
      <c r="J295" s="276"/>
      <c r="K295" s="276"/>
      <c r="L295" s="276"/>
    </row>
    <row r="296" spans="1:12">
      <c r="A296" s="383"/>
      <c r="B296" s="381" t="s">
        <v>331</v>
      </c>
      <c r="C296" s="381"/>
      <c r="D296" s="6" t="s">
        <v>328</v>
      </c>
      <c r="E296" s="3">
        <v>2</v>
      </c>
      <c r="F296" s="7">
        <v>1500</v>
      </c>
      <c r="G296" s="7">
        <f t="shared" ref="G296:G300" si="25">E296*F296</f>
        <v>3000</v>
      </c>
      <c r="J296" s="276"/>
      <c r="K296" s="276"/>
      <c r="L296" s="276"/>
    </row>
    <row r="297" spans="1:12">
      <c r="A297" s="383"/>
      <c r="B297" s="381" t="s">
        <v>332</v>
      </c>
      <c r="C297" s="381"/>
      <c r="D297" s="6" t="s">
        <v>328</v>
      </c>
      <c r="E297" s="3">
        <v>2</v>
      </c>
      <c r="F297" s="7">
        <v>1500</v>
      </c>
      <c r="G297" s="7">
        <f t="shared" si="25"/>
        <v>3000</v>
      </c>
      <c r="J297" s="276"/>
      <c r="K297" s="276"/>
      <c r="L297" s="276"/>
    </row>
    <row r="298" spans="1:12">
      <c r="A298" s="383"/>
      <c r="B298" s="381" t="s">
        <v>403</v>
      </c>
      <c r="C298" s="381"/>
      <c r="D298" s="6" t="s">
        <v>328</v>
      </c>
      <c r="E298" s="3">
        <v>2</v>
      </c>
      <c r="F298" s="7">
        <v>1500</v>
      </c>
      <c r="G298" s="7">
        <f t="shared" si="25"/>
        <v>3000</v>
      </c>
      <c r="J298" s="276"/>
      <c r="K298" s="276"/>
      <c r="L298" s="276"/>
    </row>
    <row r="299" spans="1:12">
      <c r="A299" s="383"/>
      <c r="B299" s="381" t="s">
        <v>404</v>
      </c>
      <c r="C299" s="381"/>
      <c r="D299" s="6" t="s">
        <v>328</v>
      </c>
      <c r="E299" s="3">
        <v>2</v>
      </c>
      <c r="F299" s="7">
        <v>1500</v>
      </c>
      <c r="G299" s="7">
        <f t="shared" si="25"/>
        <v>3000</v>
      </c>
      <c r="J299" s="276"/>
      <c r="K299" s="276"/>
      <c r="L299" s="276"/>
    </row>
    <row r="300" spans="1:12">
      <c r="A300" s="383"/>
      <c r="B300" s="381" t="s">
        <v>405</v>
      </c>
      <c r="C300" s="381"/>
      <c r="D300" s="6" t="s">
        <v>328</v>
      </c>
      <c r="E300" s="3">
        <v>2</v>
      </c>
      <c r="F300" s="7">
        <v>1500</v>
      </c>
      <c r="G300" s="7">
        <f t="shared" si="25"/>
        <v>3000</v>
      </c>
      <c r="J300" s="276"/>
      <c r="K300" s="276"/>
      <c r="L300" s="276"/>
    </row>
    <row r="301" spans="1:12" ht="29.1">
      <c r="A301" s="382" t="s">
        <v>16</v>
      </c>
      <c r="B301" s="382"/>
      <c r="C301" s="382"/>
      <c r="D301" s="1" t="s">
        <v>220</v>
      </c>
      <c r="E301" s="1" t="s">
        <v>221</v>
      </c>
      <c r="F301" s="1" t="s">
        <v>222</v>
      </c>
      <c r="G301" s="1" t="s">
        <v>223</v>
      </c>
      <c r="J301" s="276"/>
      <c r="K301" s="276"/>
      <c r="L301" s="276"/>
    </row>
    <row r="302" spans="1:12">
      <c r="A302" s="383" t="str">
        <f>'1.Detailed budget'!P37</f>
        <v>AH</v>
      </c>
      <c r="B302" s="384" t="s">
        <v>406</v>
      </c>
      <c r="C302" s="384"/>
      <c r="D302" s="2"/>
      <c r="E302" s="3"/>
      <c r="F302" s="4"/>
      <c r="G302" s="5">
        <f>SUM(G303:G304)</f>
        <v>50000</v>
      </c>
      <c r="H302" s="149"/>
      <c r="I302" s="149"/>
      <c r="J302" s="276"/>
      <c r="K302" s="276"/>
      <c r="L302" s="276"/>
    </row>
    <row r="303" spans="1:12">
      <c r="A303" s="383"/>
      <c r="B303" s="381" t="s">
        <v>407</v>
      </c>
      <c r="C303" s="381"/>
      <c r="D303" s="6" t="s">
        <v>337</v>
      </c>
      <c r="E303" s="3">
        <v>7</v>
      </c>
      <c r="F303" s="7">
        <v>5000</v>
      </c>
      <c r="G303" s="7">
        <f>E303*F303</f>
        <v>35000</v>
      </c>
      <c r="J303" s="276"/>
      <c r="K303" s="276"/>
      <c r="L303" s="276"/>
    </row>
    <row r="304" spans="1:12">
      <c r="A304" s="383"/>
      <c r="B304" s="381" t="s">
        <v>408</v>
      </c>
      <c r="C304" s="381"/>
      <c r="D304" s="6" t="s">
        <v>337</v>
      </c>
      <c r="E304" s="3">
        <v>3</v>
      </c>
      <c r="F304" s="7">
        <v>5000</v>
      </c>
      <c r="G304" s="7">
        <f t="shared" ref="G304" si="26">E304*F304</f>
        <v>15000</v>
      </c>
      <c r="J304" s="276"/>
      <c r="K304" s="276"/>
      <c r="L304" s="276"/>
    </row>
    <row r="305" spans="1:12" ht="29.1">
      <c r="A305" s="382" t="s">
        <v>16</v>
      </c>
      <c r="B305" s="382"/>
      <c r="C305" s="382"/>
      <c r="D305" s="1" t="s">
        <v>220</v>
      </c>
      <c r="E305" s="1" t="s">
        <v>221</v>
      </c>
      <c r="F305" s="1" t="s">
        <v>222</v>
      </c>
      <c r="G305" s="1" t="s">
        <v>223</v>
      </c>
      <c r="J305" s="276"/>
      <c r="K305" s="276"/>
      <c r="L305" s="276"/>
    </row>
    <row r="306" spans="1:12">
      <c r="A306" s="383" t="str">
        <f>'1.Detailed budget'!P38</f>
        <v>AI</v>
      </c>
      <c r="B306" s="384" t="s">
        <v>409</v>
      </c>
      <c r="C306" s="384"/>
      <c r="D306" s="2"/>
      <c r="E306" s="3"/>
      <c r="F306" s="4"/>
      <c r="G306" s="5">
        <f>SUM(G307:G308)</f>
        <v>40000</v>
      </c>
      <c r="H306" s="149"/>
      <c r="I306" s="149"/>
      <c r="J306" s="276"/>
      <c r="K306" s="276"/>
      <c r="L306" s="276"/>
    </row>
    <row r="307" spans="1:12">
      <c r="A307" s="383"/>
      <c r="B307" s="381" t="s">
        <v>410</v>
      </c>
      <c r="C307" s="381"/>
      <c r="D307" s="6" t="s">
        <v>328</v>
      </c>
      <c r="E307" s="3">
        <v>10</v>
      </c>
      <c r="F307" s="7">
        <v>2000</v>
      </c>
      <c r="G307" s="7">
        <f>E307*F307</f>
        <v>20000</v>
      </c>
      <c r="J307" s="276"/>
      <c r="K307" s="276"/>
      <c r="L307" s="276"/>
    </row>
    <row r="308" spans="1:12">
      <c r="A308" s="383"/>
      <c r="B308" s="381" t="s">
        <v>411</v>
      </c>
      <c r="C308" s="381"/>
      <c r="D308" s="6" t="s">
        <v>328</v>
      </c>
      <c r="E308" s="3">
        <v>10</v>
      </c>
      <c r="F308" s="7">
        <v>2000</v>
      </c>
      <c r="G308" s="7">
        <f>E308*F308</f>
        <v>20000</v>
      </c>
      <c r="J308" s="276"/>
      <c r="K308" s="276"/>
      <c r="L308" s="276"/>
    </row>
    <row r="309" spans="1:12" ht="29.1">
      <c r="A309" s="382" t="s">
        <v>16</v>
      </c>
      <c r="B309" s="382"/>
      <c r="C309" s="382"/>
      <c r="D309" s="1" t="s">
        <v>220</v>
      </c>
      <c r="E309" s="1" t="s">
        <v>221</v>
      </c>
      <c r="F309" s="1" t="s">
        <v>222</v>
      </c>
      <c r="G309" s="1" t="s">
        <v>223</v>
      </c>
      <c r="J309" s="276"/>
      <c r="K309" s="276"/>
      <c r="L309" s="276"/>
    </row>
    <row r="310" spans="1:12">
      <c r="A310" s="383" t="str">
        <f>'1.Detailed budget'!P39</f>
        <v>AJ</v>
      </c>
      <c r="B310" s="384" t="s">
        <v>412</v>
      </c>
      <c r="C310" s="384"/>
      <c r="D310" s="2"/>
      <c r="E310" s="3"/>
      <c r="F310" s="4"/>
      <c r="G310" s="5">
        <f>SUM(G311:G312)</f>
        <v>140000</v>
      </c>
      <c r="H310" s="149"/>
      <c r="I310" s="149"/>
      <c r="J310" s="276"/>
      <c r="K310" s="276"/>
      <c r="L310" s="276"/>
    </row>
    <row r="311" spans="1:12">
      <c r="A311" s="383"/>
      <c r="B311" s="381" t="s">
        <v>413</v>
      </c>
      <c r="C311" s="381"/>
      <c r="D311" s="6" t="s">
        <v>328</v>
      </c>
      <c r="E311" s="3">
        <v>14</v>
      </c>
      <c r="F311" s="7">
        <v>5000</v>
      </c>
      <c r="G311" s="7">
        <f>E311*F311</f>
        <v>70000</v>
      </c>
      <c r="J311" s="276"/>
      <c r="K311" s="276"/>
      <c r="L311" s="276"/>
    </row>
    <row r="312" spans="1:12">
      <c r="A312" s="383"/>
      <c r="B312" s="381" t="s">
        <v>414</v>
      </c>
      <c r="C312" s="381"/>
      <c r="D312" s="6" t="s">
        <v>328</v>
      </c>
      <c r="E312" s="3">
        <v>14</v>
      </c>
      <c r="F312" s="7">
        <v>5000</v>
      </c>
      <c r="G312" s="7">
        <f>E312*F312</f>
        <v>70000</v>
      </c>
      <c r="J312" s="276"/>
      <c r="K312" s="276"/>
      <c r="L312" s="276"/>
    </row>
    <row r="313" spans="1:12" ht="29.1">
      <c r="A313" s="382" t="s">
        <v>16</v>
      </c>
      <c r="B313" s="382"/>
      <c r="C313" s="382"/>
      <c r="D313" s="1" t="s">
        <v>220</v>
      </c>
      <c r="E313" s="1" t="s">
        <v>221</v>
      </c>
      <c r="F313" s="1" t="s">
        <v>222</v>
      </c>
      <c r="G313" s="1" t="s">
        <v>223</v>
      </c>
      <c r="J313" s="276"/>
      <c r="K313" s="276"/>
      <c r="L313" s="276"/>
    </row>
    <row r="314" spans="1:12" ht="34.5" customHeight="1">
      <c r="A314" s="383" t="str">
        <f>'1.Detailed budget'!P40</f>
        <v>AK</v>
      </c>
      <c r="B314" s="384" t="s">
        <v>415</v>
      </c>
      <c r="C314" s="384"/>
      <c r="D314" s="2"/>
      <c r="E314" s="3"/>
      <c r="F314" s="4"/>
      <c r="G314" s="5">
        <f>SUM(G315:G316)</f>
        <v>19500</v>
      </c>
      <c r="H314" s="149"/>
      <c r="I314" s="149"/>
      <c r="J314" s="276"/>
      <c r="K314" s="276"/>
      <c r="L314" s="276"/>
    </row>
    <row r="315" spans="1:12">
      <c r="A315" s="383"/>
      <c r="B315" s="381" t="s">
        <v>416</v>
      </c>
      <c r="C315" s="381"/>
      <c r="D315" s="6" t="s">
        <v>328</v>
      </c>
      <c r="E315" s="3">
        <v>1</v>
      </c>
      <c r="F315" s="7">
        <v>9500</v>
      </c>
      <c r="G315" s="7">
        <f>E315*F315</f>
        <v>9500</v>
      </c>
      <c r="J315" s="276"/>
      <c r="K315" s="276"/>
      <c r="L315" s="276"/>
    </row>
    <row r="316" spans="1:12" ht="50.25" customHeight="1">
      <c r="A316" s="383"/>
      <c r="B316" s="381" t="s">
        <v>417</v>
      </c>
      <c r="C316" s="381"/>
      <c r="D316" s="6" t="s">
        <v>328</v>
      </c>
      <c r="E316" s="3">
        <v>2</v>
      </c>
      <c r="F316" s="7">
        <v>5000</v>
      </c>
      <c r="G316" s="7">
        <f>E316*F316</f>
        <v>10000</v>
      </c>
      <c r="J316" s="276"/>
      <c r="K316" s="276"/>
      <c r="L316" s="276"/>
    </row>
    <row r="317" spans="1:12" ht="50.25" customHeight="1">
      <c r="A317" s="382" t="s">
        <v>16</v>
      </c>
      <c r="B317" s="382"/>
      <c r="C317" s="382"/>
      <c r="D317" s="1" t="s">
        <v>220</v>
      </c>
      <c r="E317" s="1" t="s">
        <v>221</v>
      </c>
      <c r="F317" s="1" t="s">
        <v>222</v>
      </c>
      <c r="G317" s="1" t="s">
        <v>223</v>
      </c>
      <c r="J317" s="276"/>
      <c r="K317" s="276"/>
      <c r="L317" s="276"/>
    </row>
    <row r="318" spans="1:12">
      <c r="A318" s="383" t="str">
        <f>'1.Detailed budget'!P41</f>
        <v>AL</v>
      </c>
      <c r="B318" s="384" t="s">
        <v>415</v>
      </c>
      <c r="C318" s="384"/>
      <c r="D318" s="2"/>
      <c r="E318" s="3"/>
      <c r="F318" s="4"/>
      <c r="G318" s="5">
        <f>SUM(G319:G319)</f>
        <v>60000</v>
      </c>
      <c r="H318" s="149"/>
      <c r="I318" s="149"/>
      <c r="J318" s="276"/>
      <c r="K318" s="276"/>
      <c r="L318" s="276"/>
    </row>
    <row r="319" spans="1:12">
      <c r="A319" s="383"/>
      <c r="B319" s="381" t="s">
        <v>418</v>
      </c>
      <c r="C319" s="381"/>
      <c r="D319" s="6" t="s">
        <v>337</v>
      </c>
      <c r="E319" s="3">
        <v>15</v>
      </c>
      <c r="F319" s="7">
        <v>4000</v>
      </c>
      <c r="G319" s="7">
        <f>E319*F319</f>
        <v>60000</v>
      </c>
      <c r="J319" s="276"/>
      <c r="K319" s="276"/>
      <c r="L319" s="276"/>
    </row>
    <row r="320" spans="1:12" ht="50.25" customHeight="1">
      <c r="A320" s="382" t="s">
        <v>16</v>
      </c>
      <c r="B320" s="382"/>
      <c r="C320" s="382"/>
      <c r="D320" s="1" t="s">
        <v>220</v>
      </c>
      <c r="E320" s="1" t="s">
        <v>221</v>
      </c>
      <c r="F320" s="1" t="s">
        <v>222</v>
      </c>
      <c r="G320" s="1" t="s">
        <v>223</v>
      </c>
      <c r="J320" s="276"/>
      <c r="K320" s="276"/>
      <c r="L320" s="276"/>
    </row>
    <row r="321" spans="1:12" ht="50.25" customHeight="1">
      <c r="A321" s="383" t="str">
        <f>'1.Detailed budget'!P42</f>
        <v>AM</v>
      </c>
      <c r="B321" s="384" t="s">
        <v>419</v>
      </c>
      <c r="C321" s="384"/>
      <c r="D321" s="2"/>
      <c r="E321" s="3"/>
      <c r="F321" s="4"/>
      <c r="G321" s="5">
        <f>SUM(G322:G322)</f>
        <v>4500</v>
      </c>
      <c r="H321" s="149"/>
      <c r="I321" s="149"/>
      <c r="J321" s="276"/>
      <c r="K321" s="276"/>
      <c r="L321" s="276"/>
    </row>
    <row r="322" spans="1:12">
      <c r="A322" s="383"/>
      <c r="B322" s="381" t="s">
        <v>420</v>
      </c>
      <c r="C322" s="381"/>
      <c r="D322" s="6" t="s">
        <v>337</v>
      </c>
      <c r="E322" s="3">
        <v>1</v>
      </c>
      <c r="F322" s="7">
        <v>4500</v>
      </c>
      <c r="G322" s="7">
        <f>E322*F322</f>
        <v>4500</v>
      </c>
      <c r="J322" s="276"/>
      <c r="K322" s="276"/>
      <c r="L322" s="276"/>
    </row>
    <row r="323" spans="1:12" ht="29.1">
      <c r="A323" s="382" t="s">
        <v>16</v>
      </c>
      <c r="B323" s="382"/>
      <c r="C323" s="382"/>
      <c r="D323" s="1" t="s">
        <v>220</v>
      </c>
      <c r="E323" s="1" t="s">
        <v>221</v>
      </c>
      <c r="F323" s="1" t="s">
        <v>222</v>
      </c>
      <c r="G323" s="1" t="s">
        <v>223</v>
      </c>
      <c r="J323" s="276"/>
      <c r="K323" s="276"/>
      <c r="L323" s="276"/>
    </row>
    <row r="324" spans="1:12">
      <c r="A324" s="383" t="str">
        <f>'1.Detailed budget'!P43</f>
        <v>AN</v>
      </c>
      <c r="B324" s="386" t="s">
        <v>421</v>
      </c>
      <c r="C324" s="384"/>
      <c r="D324" s="2"/>
      <c r="E324" s="3"/>
      <c r="F324" s="4"/>
      <c r="G324" s="152">
        <f>SUM(G325:G325)</f>
        <v>50000</v>
      </c>
      <c r="H324" s="149"/>
      <c r="I324" s="149"/>
      <c r="J324" s="276"/>
      <c r="K324" s="276"/>
      <c r="L324" s="276"/>
    </row>
    <row r="325" spans="1:12">
      <c r="A325" s="383"/>
      <c r="B325" s="381" t="s">
        <v>422</v>
      </c>
      <c r="C325" s="381"/>
      <c r="D325" s="6" t="s">
        <v>226</v>
      </c>
      <c r="E325" s="3">
        <v>1</v>
      </c>
      <c r="F325" s="7">
        <v>50000</v>
      </c>
      <c r="G325" s="7">
        <f>E325*F325</f>
        <v>50000</v>
      </c>
      <c r="J325" s="276"/>
      <c r="K325" s="276"/>
      <c r="L325" s="276"/>
    </row>
    <row r="326" spans="1:12" ht="29.1">
      <c r="A326" s="382" t="s">
        <v>16</v>
      </c>
      <c r="B326" s="382"/>
      <c r="C326" s="382"/>
      <c r="D326" s="1" t="s">
        <v>220</v>
      </c>
      <c r="E326" s="1" t="s">
        <v>221</v>
      </c>
      <c r="F326" s="1" t="s">
        <v>222</v>
      </c>
      <c r="G326" s="1" t="s">
        <v>223</v>
      </c>
      <c r="J326" s="276"/>
      <c r="K326" s="276"/>
      <c r="L326" s="276"/>
    </row>
    <row r="327" spans="1:12">
      <c r="A327" s="383" t="str">
        <f>'1.Detailed budget'!P44</f>
        <v>AO</v>
      </c>
      <c r="B327" s="384" t="s">
        <v>423</v>
      </c>
      <c r="C327" s="384"/>
      <c r="D327" s="2"/>
      <c r="E327" s="3"/>
      <c r="F327" s="4"/>
      <c r="G327" s="5">
        <f>SUM(G328:G334)</f>
        <v>144000</v>
      </c>
      <c r="H327" s="149"/>
      <c r="I327" s="149"/>
      <c r="J327" s="276"/>
      <c r="K327" s="276"/>
      <c r="L327" s="276"/>
    </row>
    <row r="328" spans="1:12">
      <c r="A328" s="383"/>
      <c r="B328" s="381" t="s">
        <v>424</v>
      </c>
      <c r="C328" s="381"/>
      <c r="D328" s="6" t="s">
        <v>328</v>
      </c>
      <c r="E328" s="3">
        <v>10</v>
      </c>
      <c r="F328" s="7">
        <v>4000</v>
      </c>
      <c r="G328" s="7">
        <f>E328*F328</f>
        <v>40000</v>
      </c>
      <c r="J328" s="276"/>
      <c r="K328" s="276"/>
      <c r="L328" s="276"/>
    </row>
    <row r="329" spans="1:12">
      <c r="A329" s="383"/>
      <c r="B329" s="381" t="s">
        <v>425</v>
      </c>
      <c r="C329" s="381"/>
      <c r="D329" s="6" t="s">
        <v>328</v>
      </c>
      <c r="E329" s="3">
        <v>10</v>
      </c>
      <c r="F329" s="7">
        <v>4000</v>
      </c>
      <c r="G329" s="7">
        <f t="shared" ref="G329:G334" si="27">E329*F329</f>
        <v>40000</v>
      </c>
      <c r="J329" s="276"/>
      <c r="K329" s="276"/>
      <c r="L329" s="276"/>
    </row>
    <row r="330" spans="1:12">
      <c r="A330" s="383"/>
      <c r="B330" s="381" t="s">
        <v>426</v>
      </c>
      <c r="C330" s="381"/>
      <c r="D330" s="6" t="s">
        <v>328</v>
      </c>
      <c r="E330" s="3">
        <v>5</v>
      </c>
      <c r="F330" s="7">
        <v>4000</v>
      </c>
      <c r="G330" s="7">
        <f t="shared" si="27"/>
        <v>20000</v>
      </c>
      <c r="J330" s="276"/>
      <c r="K330" s="276"/>
      <c r="L330" s="276"/>
    </row>
    <row r="331" spans="1:12">
      <c r="A331" s="383"/>
      <c r="B331" s="381" t="s">
        <v>427</v>
      </c>
      <c r="C331" s="381"/>
      <c r="D331" s="6" t="s">
        <v>328</v>
      </c>
      <c r="E331" s="3">
        <v>5</v>
      </c>
      <c r="F331" s="7">
        <v>4000</v>
      </c>
      <c r="G331" s="7">
        <f t="shared" si="27"/>
        <v>20000</v>
      </c>
      <c r="J331" s="276"/>
      <c r="K331" s="276"/>
      <c r="L331" s="276"/>
    </row>
    <row r="332" spans="1:12">
      <c r="A332" s="383"/>
      <c r="B332" s="381" t="s">
        <v>428</v>
      </c>
      <c r="C332" s="381"/>
      <c r="D332" s="6" t="s">
        <v>328</v>
      </c>
      <c r="E332" s="3">
        <v>2</v>
      </c>
      <c r="F332" s="7">
        <v>4000</v>
      </c>
      <c r="G332" s="7">
        <f t="shared" si="27"/>
        <v>8000</v>
      </c>
      <c r="J332" s="276"/>
      <c r="K332" s="276"/>
      <c r="L332" s="276"/>
    </row>
    <row r="333" spans="1:12">
      <c r="A333" s="383"/>
      <c r="B333" s="381" t="s">
        <v>429</v>
      </c>
      <c r="C333" s="381"/>
      <c r="D333" s="6" t="s">
        <v>328</v>
      </c>
      <c r="E333" s="3">
        <v>2</v>
      </c>
      <c r="F333" s="7">
        <v>4000</v>
      </c>
      <c r="G333" s="7">
        <f t="shared" si="27"/>
        <v>8000</v>
      </c>
      <c r="J333" s="276"/>
      <c r="K333" s="276"/>
      <c r="L333" s="276"/>
    </row>
    <row r="334" spans="1:12">
      <c r="A334" s="383"/>
      <c r="B334" s="381" t="s">
        <v>430</v>
      </c>
      <c r="C334" s="381"/>
      <c r="D334" s="6" t="s">
        <v>328</v>
      </c>
      <c r="E334" s="3">
        <v>2</v>
      </c>
      <c r="F334" s="7">
        <v>4000</v>
      </c>
      <c r="G334" s="7">
        <f t="shared" si="27"/>
        <v>8000</v>
      </c>
      <c r="J334" s="276"/>
      <c r="K334" s="276"/>
      <c r="L334" s="276"/>
    </row>
    <row r="335" spans="1:12" ht="15" customHeight="1">
      <c r="A335" s="382" t="s">
        <v>16</v>
      </c>
      <c r="B335" s="382"/>
      <c r="C335" s="382"/>
      <c r="D335" s="1" t="s">
        <v>220</v>
      </c>
      <c r="E335" s="1" t="s">
        <v>221</v>
      </c>
      <c r="F335" s="1" t="s">
        <v>222</v>
      </c>
      <c r="G335" s="1" t="s">
        <v>223</v>
      </c>
      <c r="J335" s="276"/>
      <c r="K335" s="276"/>
      <c r="L335" s="276"/>
    </row>
    <row r="336" spans="1:12">
      <c r="A336" s="383" t="str">
        <f>'1.Detailed budget'!P45</f>
        <v>AP</v>
      </c>
      <c r="B336" s="384" t="s">
        <v>431</v>
      </c>
      <c r="C336" s="384"/>
      <c r="D336" s="2"/>
      <c r="E336" s="3"/>
      <c r="F336" s="4"/>
      <c r="G336" s="5">
        <f>SUM(G337:G342)</f>
        <v>240870</v>
      </c>
      <c r="H336" s="149"/>
      <c r="I336" s="149"/>
      <c r="J336" s="276"/>
      <c r="K336" s="276"/>
      <c r="L336" s="276"/>
    </row>
    <row r="337" spans="1:12" ht="15" customHeight="1">
      <c r="A337" s="383"/>
      <c r="B337" s="381" t="s">
        <v>432</v>
      </c>
      <c r="C337" s="381"/>
      <c r="D337" s="6" t="s">
        <v>328</v>
      </c>
      <c r="E337" s="3">
        <v>7</v>
      </c>
      <c r="F337" s="7">
        <v>10000</v>
      </c>
      <c r="G337" s="7">
        <f t="shared" ref="G337:G342" si="28">E337*F337</f>
        <v>70000</v>
      </c>
      <c r="J337" s="276"/>
      <c r="K337" s="276"/>
      <c r="L337" s="276"/>
    </row>
    <row r="338" spans="1:12" ht="15" customHeight="1">
      <c r="A338" s="383"/>
      <c r="B338" s="381" t="s">
        <v>433</v>
      </c>
      <c r="C338" s="381"/>
      <c r="D338" s="6" t="s">
        <v>328</v>
      </c>
      <c r="E338" s="3">
        <v>14</v>
      </c>
      <c r="F338" s="7">
        <v>4000</v>
      </c>
      <c r="G338" s="7">
        <f t="shared" si="28"/>
        <v>56000</v>
      </c>
      <c r="J338" s="276"/>
      <c r="K338" s="276"/>
      <c r="L338" s="276"/>
    </row>
    <row r="339" spans="1:12" ht="15" customHeight="1">
      <c r="A339" s="383"/>
      <c r="B339" s="381" t="s">
        <v>434</v>
      </c>
      <c r="C339" s="381"/>
      <c r="D339" s="6" t="s">
        <v>328</v>
      </c>
      <c r="E339" s="3">
        <v>7</v>
      </c>
      <c r="F339" s="7">
        <v>6000</v>
      </c>
      <c r="G339" s="7">
        <f t="shared" si="28"/>
        <v>42000</v>
      </c>
      <c r="J339" s="276"/>
      <c r="K339" s="276"/>
      <c r="L339" s="276"/>
    </row>
    <row r="340" spans="1:12" ht="15" customHeight="1">
      <c r="A340" s="383"/>
      <c r="B340" s="381" t="s">
        <v>435</v>
      </c>
      <c r="C340" s="381"/>
      <c r="D340" s="6" t="s">
        <v>328</v>
      </c>
      <c r="E340" s="3">
        <v>7</v>
      </c>
      <c r="F340" s="7">
        <v>90</v>
      </c>
      <c r="G340" s="7">
        <f t="shared" si="28"/>
        <v>630</v>
      </c>
      <c r="J340" s="276"/>
      <c r="K340" s="276"/>
      <c r="L340" s="276"/>
    </row>
    <row r="341" spans="1:12" ht="15" customHeight="1">
      <c r="A341" s="383"/>
      <c r="B341" s="381" t="s">
        <v>436</v>
      </c>
      <c r="C341" s="381"/>
      <c r="D341" s="6" t="s">
        <v>328</v>
      </c>
      <c r="E341" s="3">
        <v>28</v>
      </c>
      <c r="F341" s="7">
        <v>80</v>
      </c>
      <c r="G341" s="7">
        <f t="shared" si="28"/>
        <v>2240</v>
      </c>
      <c r="J341" s="276"/>
      <c r="K341" s="276"/>
      <c r="L341" s="276"/>
    </row>
    <row r="342" spans="1:12" ht="15" customHeight="1">
      <c r="A342" s="383"/>
      <c r="B342" s="381" t="s">
        <v>437</v>
      </c>
      <c r="C342" s="381"/>
      <c r="D342" s="6" t="s">
        <v>328</v>
      </c>
      <c r="E342" s="3">
        <v>7</v>
      </c>
      <c r="F342" s="7">
        <v>10000</v>
      </c>
      <c r="G342" s="7">
        <f t="shared" si="28"/>
        <v>70000</v>
      </c>
      <c r="J342" s="276"/>
      <c r="K342" s="276"/>
      <c r="L342" s="276"/>
    </row>
    <row r="343" spans="1:12" ht="15" customHeight="1">
      <c r="A343" s="382" t="s">
        <v>16</v>
      </c>
      <c r="B343" s="382"/>
      <c r="C343" s="382"/>
      <c r="D343" s="1" t="s">
        <v>220</v>
      </c>
      <c r="E343" s="1" t="s">
        <v>221</v>
      </c>
      <c r="F343" s="1" t="s">
        <v>222</v>
      </c>
      <c r="G343" s="1" t="s">
        <v>223</v>
      </c>
      <c r="J343" s="276"/>
      <c r="K343" s="276"/>
      <c r="L343" s="276"/>
    </row>
    <row r="344" spans="1:12" ht="112.5" customHeight="1">
      <c r="A344" s="383" t="str">
        <f>'1.Detailed budget'!P46</f>
        <v>AQ</v>
      </c>
      <c r="B344" s="384" t="s">
        <v>438</v>
      </c>
      <c r="C344" s="384"/>
      <c r="D344" s="2"/>
      <c r="E344" s="3"/>
      <c r="F344" s="4"/>
      <c r="G344" s="5">
        <f>SUM(G345:G350)</f>
        <v>60000</v>
      </c>
      <c r="H344" s="149"/>
      <c r="I344" s="149"/>
      <c r="J344" s="276"/>
      <c r="K344" s="276"/>
      <c r="L344" s="276"/>
    </row>
    <row r="345" spans="1:12" ht="15" customHeight="1">
      <c r="A345" s="383"/>
      <c r="B345" s="381" t="s">
        <v>439</v>
      </c>
      <c r="C345" s="381"/>
      <c r="D345" s="6" t="s">
        <v>328</v>
      </c>
      <c r="E345" s="3">
        <v>10</v>
      </c>
      <c r="F345" s="7">
        <v>1500</v>
      </c>
      <c r="G345" s="7">
        <f t="shared" ref="G345:G350" si="29">E345*F345</f>
        <v>15000</v>
      </c>
      <c r="J345" s="276"/>
      <c r="K345" s="276"/>
      <c r="L345" s="276"/>
    </row>
    <row r="346" spans="1:12" ht="15" customHeight="1">
      <c r="A346" s="383"/>
      <c r="B346" s="381" t="s">
        <v>440</v>
      </c>
      <c r="C346" s="381"/>
      <c r="D346" s="6" t="s">
        <v>328</v>
      </c>
      <c r="E346" s="3">
        <v>10</v>
      </c>
      <c r="F346" s="7">
        <v>1500</v>
      </c>
      <c r="G346" s="7">
        <f t="shared" si="29"/>
        <v>15000</v>
      </c>
      <c r="J346" s="276"/>
      <c r="K346" s="276"/>
      <c r="L346" s="276"/>
    </row>
    <row r="347" spans="1:12" ht="15" customHeight="1">
      <c r="A347" s="383"/>
      <c r="B347" s="381" t="s">
        <v>441</v>
      </c>
      <c r="C347" s="381"/>
      <c r="D347" s="6" t="s">
        <v>328</v>
      </c>
      <c r="E347" s="3">
        <v>5</v>
      </c>
      <c r="F347" s="7">
        <v>1500</v>
      </c>
      <c r="G347" s="7">
        <f t="shared" si="29"/>
        <v>7500</v>
      </c>
      <c r="J347" s="276"/>
      <c r="K347" s="276"/>
      <c r="L347" s="276"/>
    </row>
    <row r="348" spans="1:12" ht="15" customHeight="1">
      <c r="A348" s="383"/>
      <c r="B348" s="381" t="s">
        <v>442</v>
      </c>
      <c r="C348" s="381"/>
      <c r="D348" s="6" t="s">
        <v>328</v>
      </c>
      <c r="E348" s="3">
        <v>5</v>
      </c>
      <c r="F348" s="7">
        <v>1500</v>
      </c>
      <c r="G348" s="7">
        <f t="shared" si="29"/>
        <v>7500</v>
      </c>
      <c r="J348" s="276"/>
      <c r="K348" s="276"/>
      <c r="L348" s="276"/>
    </row>
    <row r="349" spans="1:12" ht="15" customHeight="1">
      <c r="A349" s="383"/>
      <c r="B349" s="381" t="s">
        <v>443</v>
      </c>
      <c r="C349" s="381"/>
      <c r="D349" s="6" t="s">
        <v>328</v>
      </c>
      <c r="E349" s="3">
        <v>5</v>
      </c>
      <c r="F349" s="7">
        <v>1500</v>
      </c>
      <c r="G349" s="7">
        <f t="shared" si="29"/>
        <v>7500</v>
      </c>
      <c r="J349" s="276"/>
      <c r="K349" s="276"/>
      <c r="L349" s="276"/>
    </row>
    <row r="350" spans="1:12" ht="15" customHeight="1">
      <c r="A350" s="383"/>
      <c r="B350" s="381" t="s">
        <v>444</v>
      </c>
      <c r="C350" s="381"/>
      <c r="D350" s="6" t="s">
        <v>328</v>
      </c>
      <c r="E350" s="3">
        <v>5</v>
      </c>
      <c r="F350" s="7">
        <v>1500</v>
      </c>
      <c r="G350" s="7">
        <f t="shared" si="29"/>
        <v>7500</v>
      </c>
      <c r="J350" s="276"/>
      <c r="K350" s="276"/>
      <c r="L350" s="276"/>
    </row>
    <row r="351" spans="1:12" ht="15" customHeight="1">
      <c r="A351" s="382" t="s">
        <v>16</v>
      </c>
      <c r="B351" s="382"/>
      <c r="C351" s="382"/>
      <c r="D351" s="1" t="s">
        <v>220</v>
      </c>
      <c r="E351" s="1" t="s">
        <v>221</v>
      </c>
      <c r="F351" s="1" t="s">
        <v>222</v>
      </c>
      <c r="G351" s="1" t="s">
        <v>223</v>
      </c>
      <c r="J351" s="276"/>
      <c r="K351" s="276"/>
      <c r="L351" s="276"/>
    </row>
    <row r="352" spans="1:12" ht="68.25" customHeight="1">
      <c r="A352" s="383" t="str">
        <f>'1.Detailed budget'!P48</f>
        <v>AR</v>
      </c>
      <c r="B352" s="384" t="s">
        <v>445</v>
      </c>
      <c r="C352" s="384"/>
      <c r="D352" s="2"/>
      <c r="E352" s="3"/>
      <c r="F352" s="4"/>
      <c r="G352" s="5">
        <f>SUM(G353:G356)</f>
        <v>12500</v>
      </c>
      <c r="H352" s="149"/>
      <c r="I352" s="149"/>
      <c r="J352" s="276"/>
      <c r="K352" s="276"/>
      <c r="L352" s="276"/>
    </row>
    <row r="353" spans="1:12" ht="15" customHeight="1">
      <c r="A353" s="383"/>
      <c r="B353" s="381" t="s">
        <v>440</v>
      </c>
      <c r="C353" s="381"/>
      <c r="D353" s="6" t="s">
        <v>328</v>
      </c>
      <c r="E353" s="3">
        <v>1</v>
      </c>
      <c r="F353" s="7">
        <v>2500</v>
      </c>
      <c r="G353" s="7">
        <f>E353*F353</f>
        <v>2500</v>
      </c>
      <c r="J353" s="276"/>
      <c r="K353" s="276"/>
      <c r="L353" s="276"/>
    </row>
    <row r="354" spans="1:12" ht="15" customHeight="1">
      <c r="A354" s="383"/>
      <c r="B354" s="381" t="s">
        <v>441</v>
      </c>
      <c r="C354" s="381"/>
      <c r="D354" s="6" t="s">
        <v>328</v>
      </c>
      <c r="E354" s="3">
        <v>1</v>
      </c>
      <c r="F354" s="7">
        <v>2500</v>
      </c>
      <c r="G354" s="7">
        <f>E354*F354</f>
        <v>2500</v>
      </c>
      <c r="J354" s="276"/>
      <c r="K354" s="276"/>
      <c r="L354" s="276"/>
    </row>
    <row r="355" spans="1:12" ht="15" customHeight="1">
      <c r="A355" s="383"/>
      <c r="B355" s="381" t="s">
        <v>442</v>
      </c>
      <c r="C355" s="381"/>
      <c r="D355" s="6" t="s">
        <v>328</v>
      </c>
      <c r="E355" s="3">
        <v>2</v>
      </c>
      <c r="F355" s="7">
        <v>2500</v>
      </c>
      <c r="G355" s="7">
        <f>E355*F355</f>
        <v>5000</v>
      </c>
      <c r="J355" s="276"/>
      <c r="K355" s="276"/>
      <c r="L355" s="276"/>
    </row>
    <row r="356" spans="1:12" ht="15" customHeight="1">
      <c r="A356" s="383"/>
      <c r="B356" s="381" t="s">
        <v>443</v>
      </c>
      <c r="C356" s="381"/>
      <c r="D356" s="6" t="s">
        <v>328</v>
      </c>
      <c r="E356" s="3">
        <v>1</v>
      </c>
      <c r="F356" s="7">
        <v>2500</v>
      </c>
      <c r="G356" s="7">
        <f>E356*F356</f>
        <v>2500</v>
      </c>
      <c r="J356" s="276"/>
      <c r="K356" s="276"/>
      <c r="L356" s="276"/>
    </row>
    <row r="357" spans="1:12" ht="39.75" customHeight="1">
      <c r="A357" s="382" t="s">
        <v>16</v>
      </c>
      <c r="B357" s="382"/>
      <c r="C357" s="382"/>
      <c r="D357" s="1" t="s">
        <v>220</v>
      </c>
      <c r="E357" s="1" t="s">
        <v>221</v>
      </c>
      <c r="F357" s="1" t="s">
        <v>222</v>
      </c>
      <c r="G357" s="1" t="s">
        <v>223</v>
      </c>
      <c r="J357" s="276"/>
      <c r="K357" s="276"/>
      <c r="L357" s="276"/>
    </row>
    <row r="358" spans="1:12" ht="15" customHeight="1">
      <c r="A358" s="383" t="str">
        <f>'1.Detailed budget'!P49</f>
        <v>AS</v>
      </c>
      <c r="B358" s="384" t="s">
        <v>446</v>
      </c>
      <c r="C358" s="384"/>
      <c r="D358" s="2"/>
      <c r="E358" s="3"/>
      <c r="F358" s="4"/>
      <c r="G358" s="5">
        <f>SUM(G359:G372)</f>
        <v>238000</v>
      </c>
      <c r="H358" s="149"/>
      <c r="I358" s="149"/>
      <c r="J358" s="276"/>
      <c r="K358" s="276"/>
      <c r="L358" s="276"/>
    </row>
    <row r="359" spans="1:12" ht="15" customHeight="1">
      <c r="A359" s="383"/>
      <c r="B359" s="381" t="s">
        <v>447</v>
      </c>
      <c r="C359" s="381"/>
      <c r="D359" s="6" t="s">
        <v>328</v>
      </c>
      <c r="E359" s="3">
        <v>1</v>
      </c>
      <c r="F359" s="7">
        <v>1500</v>
      </c>
      <c r="G359" s="7">
        <f>E359*F359</f>
        <v>1500</v>
      </c>
      <c r="J359" s="276"/>
      <c r="K359" s="276"/>
      <c r="L359" s="276"/>
    </row>
    <row r="360" spans="1:12" ht="15" customHeight="1">
      <c r="A360" s="383"/>
      <c r="B360" s="381" t="s">
        <v>448</v>
      </c>
      <c r="C360" s="381"/>
      <c r="D360" s="6" t="s">
        <v>328</v>
      </c>
      <c r="E360" s="3">
        <v>1</v>
      </c>
      <c r="F360" s="7">
        <v>3000</v>
      </c>
      <c r="G360" s="7">
        <f t="shared" ref="G360:G372" si="30">E360*F360</f>
        <v>3000</v>
      </c>
      <c r="J360" s="276"/>
      <c r="K360" s="276"/>
      <c r="L360" s="276"/>
    </row>
    <row r="361" spans="1:12" ht="15" customHeight="1">
      <c r="A361" s="383"/>
      <c r="B361" s="381" t="s">
        <v>449</v>
      </c>
      <c r="C361" s="381"/>
      <c r="D361" s="6" t="s">
        <v>328</v>
      </c>
      <c r="E361" s="3">
        <v>1</v>
      </c>
      <c r="F361" s="7">
        <v>500</v>
      </c>
      <c r="G361" s="7">
        <f t="shared" si="30"/>
        <v>500</v>
      </c>
      <c r="J361" s="276"/>
      <c r="K361" s="276"/>
      <c r="L361" s="276"/>
    </row>
    <row r="362" spans="1:12" ht="15" customHeight="1">
      <c r="A362" s="383"/>
      <c r="B362" s="381" t="s">
        <v>450</v>
      </c>
      <c r="C362" s="381"/>
      <c r="D362" s="6" t="s">
        <v>328</v>
      </c>
      <c r="E362" s="3">
        <v>1</v>
      </c>
      <c r="F362" s="7">
        <v>5000</v>
      </c>
      <c r="G362" s="7">
        <f t="shared" si="30"/>
        <v>5000</v>
      </c>
      <c r="J362" s="276"/>
      <c r="K362" s="276"/>
      <c r="L362" s="276"/>
    </row>
    <row r="363" spans="1:12" ht="15" customHeight="1">
      <c r="A363" s="383"/>
      <c r="B363" s="381" t="s">
        <v>451</v>
      </c>
      <c r="C363" s="381"/>
      <c r="D363" s="6" t="s">
        <v>328</v>
      </c>
      <c r="E363" s="3">
        <v>2</v>
      </c>
      <c r="F363" s="7">
        <v>5000</v>
      </c>
      <c r="G363" s="7">
        <f t="shared" si="30"/>
        <v>10000</v>
      </c>
      <c r="J363" s="276"/>
      <c r="K363" s="276"/>
      <c r="L363" s="276"/>
    </row>
    <row r="364" spans="1:12" ht="15" customHeight="1">
      <c r="A364" s="383"/>
      <c r="B364" s="381" t="s">
        <v>452</v>
      </c>
      <c r="C364" s="381"/>
      <c r="D364" s="6" t="s">
        <v>328</v>
      </c>
      <c r="E364" s="3">
        <v>2</v>
      </c>
      <c r="F364" s="7">
        <v>9200</v>
      </c>
      <c r="G364" s="7">
        <f t="shared" si="30"/>
        <v>18400</v>
      </c>
      <c r="J364" s="276"/>
      <c r="K364" s="276"/>
      <c r="L364" s="276"/>
    </row>
    <row r="365" spans="1:12" ht="15" customHeight="1">
      <c r="A365" s="383"/>
      <c r="B365" s="381" t="s">
        <v>453</v>
      </c>
      <c r="C365" s="381"/>
      <c r="D365" s="6" t="s">
        <v>328</v>
      </c>
      <c r="E365" s="3">
        <v>1</v>
      </c>
      <c r="F365" s="7">
        <v>1500</v>
      </c>
      <c r="G365" s="7">
        <f t="shared" si="30"/>
        <v>1500</v>
      </c>
      <c r="J365" s="276"/>
      <c r="K365" s="276"/>
      <c r="L365" s="276"/>
    </row>
    <row r="366" spans="1:12" ht="15" customHeight="1">
      <c r="A366" s="383"/>
      <c r="B366" s="381" t="s">
        <v>454</v>
      </c>
      <c r="C366" s="381"/>
      <c r="D366" s="6" t="s">
        <v>328</v>
      </c>
      <c r="E366" s="3">
        <v>20</v>
      </c>
      <c r="F366" s="7">
        <v>5730</v>
      </c>
      <c r="G366" s="7">
        <f t="shared" si="30"/>
        <v>114600</v>
      </c>
      <c r="J366" s="276"/>
      <c r="K366" s="276"/>
      <c r="L366" s="276"/>
    </row>
    <row r="367" spans="1:12" ht="15" customHeight="1">
      <c r="A367" s="383"/>
      <c r="B367" s="381" t="s">
        <v>455</v>
      </c>
      <c r="C367" s="381"/>
      <c r="D367" s="6" t="s">
        <v>328</v>
      </c>
      <c r="E367" s="3">
        <v>7</v>
      </c>
      <c r="F367" s="7">
        <v>1500</v>
      </c>
      <c r="G367" s="7">
        <f t="shared" si="30"/>
        <v>10500</v>
      </c>
      <c r="J367" s="276"/>
      <c r="K367" s="276"/>
      <c r="L367" s="276"/>
    </row>
    <row r="368" spans="1:12" ht="15" customHeight="1">
      <c r="A368" s="383"/>
      <c r="B368" s="381" t="s">
        <v>456</v>
      </c>
      <c r="C368" s="381"/>
      <c r="D368" s="6" t="s">
        <v>328</v>
      </c>
      <c r="E368" s="3">
        <v>7</v>
      </c>
      <c r="F368" s="7">
        <v>3200</v>
      </c>
      <c r="G368" s="7">
        <f t="shared" si="30"/>
        <v>22400</v>
      </c>
      <c r="J368" s="276"/>
      <c r="K368" s="276"/>
      <c r="L368" s="276"/>
    </row>
    <row r="369" spans="1:12" ht="15" customHeight="1">
      <c r="A369" s="383"/>
      <c r="B369" s="381" t="s">
        <v>457</v>
      </c>
      <c r="C369" s="381"/>
      <c r="D369" s="6" t="s">
        <v>328</v>
      </c>
      <c r="E369" s="3">
        <v>1</v>
      </c>
      <c r="F369" s="7">
        <v>7000</v>
      </c>
      <c r="G369" s="7">
        <f t="shared" si="30"/>
        <v>7000</v>
      </c>
      <c r="J369" s="276"/>
      <c r="K369" s="276"/>
      <c r="L369" s="276"/>
    </row>
    <row r="370" spans="1:12" ht="15" customHeight="1">
      <c r="A370" s="383"/>
      <c r="B370" s="381" t="s">
        <v>458</v>
      </c>
      <c r="C370" s="381"/>
      <c r="D370" s="6" t="s">
        <v>328</v>
      </c>
      <c r="E370" s="3">
        <v>20</v>
      </c>
      <c r="F370" s="7">
        <v>1480</v>
      </c>
      <c r="G370" s="7">
        <f t="shared" si="30"/>
        <v>29600</v>
      </c>
      <c r="J370" s="276"/>
      <c r="K370" s="276"/>
      <c r="L370" s="276"/>
    </row>
    <row r="371" spans="1:12" ht="15" customHeight="1">
      <c r="A371" s="383"/>
      <c r="B371" s="381" t="s">
        <v>459</v>
      </c>
      <c r="C371" s="381"/>
      <c r="D371" s="6"/>
      <c r="E371" s="3">
        <v>20</v>
      </c>
      <c r="F371" s="7">
        <v>420</v>
      </c>
      <c r="G371" s="7">
        <f t="shared" si="30"/>
        <v>8400</v>
      </c>
      <c r="J371" s="276"/>
      <c r="K371" s="276"/>
      <c r="L371" s="276"/>
    </row>
    <row r="372" spans="1:12" ht="15" customHeight="1">
      <c r="A372" s="383"/>
      <c r="B372" s="381" t="s">
        <v>460</v>
      </c>
      <c r="C372" s="381"/>
      <c r="D372" s="6"/>
      <c r="E372" s="3">
        <v>20</v>
      </c>
      <c r="F372" s="7">
        <v>280</v>
      </c>
      <c r="G372" s="7">
        <f t="shared" si="30"/>
        <v>5600</v>
      </c>
      <c r="J372" s="276"/>
      <c r="K372" s="276"/>
      <c r="L372" s="276"/>
    </row>
    <row r="373" spans="1:12" ht="15" customHeight="1">
      <c r="A373" s="382" t="s">
        <v>16</v>
      </c>
      <c r="B373" s="382"/>
      <c r="C373" s="382"/>
      <c r="D373" s="1" t="s">
        <v>220</v>
      </c>
      <c r="E373" s="1" t="s">
        <v>221</v>
      </c>
      <c r="F373" s="1" t="s">
        <v>222</v>
      </c>
      <c r="G373" s="1" t="s">
        <v>223</v>
      </c>
      <c r="J373" s="276"/>
      <c r="K373" s="276"/>
      <c r="L373" s="276"/>
    </row>
    <row r="374" spans="1:12" ht="42.75" customHeight="1">
      <c r="A374" s="383" t="str">
        <f>'1.Detailed budget'!P50</f>
        <v>AT</v>
      </c>
      <c r="B374" s="384" t="s">
        <v>461</v>
      </c>
      <c r="C374" s="384"/>
      <c r="D374" s="2"/>
      <c r="E374" s="3"/>
      <c r="F374" s="4"/>
      <c r="G374" s="5">
        <f>SUM(G375:G378)</f>
        <v>7000</v>
      </c>
      <c r="H374" s="149"/>
      <c r="I374" s="149"/>
      <c r="J374" s="276"/>
      <c r="K374" s="276"/>
      <c r="L374" s="276"/>
    </row>
    <row r="375" spans="1:12" ht="15" customHeight="1">
      <c r="A375" s="383"/>
      <c r="B375" s="381" t="s">
        <v>462</v>
      </c>
      <c r="C375" s="381"/>
      <c r="D375" s="6" t="s">
        <v>328</v>
      </c>
      <c r="E375" s="3">
        <v>10</v>
      </c>
      <c r="F375" s="7">
        <v>200</v>
      </c>
      <c r="G375" s="7">
        <f>E375*F375</f>
        <v>2000</v>
      </c>
      <c r="J375" s="276"/>
      <c r="K375" s="276"/>
      <c r="L375" s="276"/>
    </row>
    <row r="376" spans="1:12" ht="15" customHeight="1">
      <c r="A376" s="383"/>
      <c r="B376" s="381" t="s">
        <v>463</v>
      </c>
      <c r="C376" s="381"/>
      <c r="D376" s="6" t="s">
        <v>328</v>
      </c>
      <c r="E376" s="3">
        <v>10</v>
      </c>
      <c r="F376" s="7">
        <v>200</v>
      </c>
      <c r="G376" s="7">
        <f t="shared" ref="G376:G378" si="31">E376*F376</f>
        <v>2000</v>
      </c>
      <c r="J376" s="276"/>
      <c r="K376" s="276"/>
      <c r="L376" s="276"/>
    </row>
    <row r="377" spans="1:12" ht="15" customHeight="1">
      <c r="A377" s="383"/>
      <c r="B377" s="381" t="s">
        <v>464</v>
      </c>
      <c r="C377" s="381"/>
      <c r="D377" s="6" t="s">
        <v>328</v>
      </c>
      <c r="E377" s="3">
        <v>10</v>
      </c>
      <c r="F377" s="7">
        <v>200</v>
      </c>
      <c r="G377" s="7">
        <f t="shared" si="31"/>
        <v>2000</v>
      </c>
      <c r="J377" s="276"/>
      <c r="K377" s="276"/>
      <c r="L377" s="276"/>
    </row>
    <row r="378" spans="1:12" ht="15" customHeight="1">
      <c r="A378" s="383"/>
      <c r="B378" s="381" t="s">
        <v>465</v>
      </c>
      <c r="C378" s="381"/>
      <c r="D378" s="6" t="s">
        <v>328</v>
      </c>
      <c r="E378" s="3">
        <v>5</v>
      </c>
      <c r="F378" s="7">
        <v>200</v>
      </c>
      <c r="G378" s="7">
        <f t="shared" si="31"/>
        <v>1000</v>
      </c>
      <c r="J378" s="276"/>
      <c r="K378" s="276"/>
      <c r="L378" s="276"/>
    </row>
    <row r="379" spans="1:12" ht="15" customHeight="1">
      <c r="A379" s="382" t="s">
        <v>16</v>
      </c>
      <c r="B379" s="382"/>
      <c r="C379" s="382"/>
      <c r="D379" s="1" t="s">
        <v>220</v>
      </c>
      <c r="E379" s="1" t="s">
        <v>221</v>
      </c>
      <c r="F379" s="1" t="s">
        <v>222</v>
      </c>
      <c r="G379" s="1" t="s">
        <v>223</v>
      </c>
      <c r="J379" s="276"/>
      <c r="K379" s="276"/>
      <c r="L379" s="276"/>
    </row>
    <row r="380" spans="1:12" ht="39" customHeight="1">
      <c r="A380" s="383" t="str">
        <f>'1.Detailed budget'!P52</f>
        <v>AU</v>
      </c>
      <c r="B380" s="384" t="s">
        <v>461</v>
      </c>
      <c r="C380" s="384"/>
      <c r="D380" s="2"/>
      <c r="E380" s="3"/>
      <c r="F380" s="4"/>
      <c r="G380" s="5">
        <f>SUM(G381:G382)</f>
        <v>3000</v>
      </c>
      <c r="H380" s="149"/>
      <c r="I380" s="149"/>
      <c r="J380" s="276"/>
      <c r="K380" s="276"/>
      <c r="L380" s="276"/>
    </row>
    <row r="381" spans="1:12" ht="15" customHeight="1">
      <c r="A381" s="383"/>
      <c r="B381" s="381" t="s">
        <v>462</v>
      </c>
      <c r="C381" s="381"/>
      <c r="D381" s="6" t="s">
        <v>466</v>
      </c>
      <c r="E381" s="3">
        <v>10</v>
      </c>
      <c r="F381" s="7">
        <v>200</v>
      </c>
      <c r="G381" s="7">
        <f>E381*F381</f>
        <v>2000</v>
      </c>
      <c r="J381" s="276"/>
      <c r="K381" s="276"/>
      <c r="L381" s="276"/>
    </row>
    <row r="382" spans="1:12" ht="15" customHeight="1">
      <c r="A382" s="383"/>
      <c r="B382" s="381" t="s">
        <v>463</v>
      </c>
      <c r="C382" s="381"/>
      <c r="D382" s="6" t="s">
        <v>466</v>
      </c>
      <c r="E382" s="3">
        <v>5</v>
      </c>
      <c r="F382" s="7">
        <v>200</v>
      </c>
      <c r="G382" s="7">
        <f t="shared" ref="G382" si="32">E382*F382</f>
        <v>1000</v>
      </c>
      <c r="J382" s="276"/>
      <c r="K382" s="276"/>
      <c r="L382" s="276"/>
    </row>
    <row r="383" spans="1:12" ht="28.35" customHeight="1">
      <c r="A383" s="382" t="s">
        <v>16</v>
      </c>
      <c r="B383" s="382"/>
      <c r="C383" s="382"/>
      <c r="D383" s="1" t="s">
        <v>220</v>
      </c>
      <c r="E383" s="1" t="s">
        <v>221</v>
      </c>
      <c r="F383" s="1" t="s">
        <v>222</v>
      </c>
      <c r="G383" s="1" t="s">
        <v>223</v>
      </c>
      <c r="J383" s="276"/>
      <c r="K383" s="276"/>
      <c r="L383" s="276"/>
    </row>
    <row r="384" spans="1:12" ht="32.25" customHeight="1">
      <c r="A384" s="383" t="str">
        <f>'1.Detailed budget'!P53</f>
        <v>AV</v>
      </c>
      <c r="B384" s="384" t="s">
        <v>467</v>
      </c>
      <c r="C384" s="384"/>
      <c r="D384" s="2"/>
      <c r="E384" s="3"/>
      <c r="F384" s="4"/>
      <c r="G384" s="5">
        <f>SUM(G385:G387)</f>
        <v>8000</v>
      </c>
      <c r="H384" s="149"/>
      <c r="I384" s="149"/>
      <c r="J384" s="276"/>
      <c r="K384" s="276"/>
      <c r="L384" s="276"/>
    </row>
    <row r="385" spans="1:12" ht="15" customHeight="1">
      <c r="A385" s="383"/>
      <c r="B385" s="381" t="s">
        <v>468</v>
      </c>
      <c r="C385" s="381"/>
      <c r="D385" s="6" t="s">
        <v>328</v>
      </c>
      <c r="E385" s="3">
        <v>10</v>
      </c>
      <c r="F385" s="7">
        <v>200</v>
      </c>
      <c r="G385" s="7">
        <f>E385*F385</f>
        <v>2000</v>
      </c>
      <c r="J385" s="276"/>
      <c r="K385" s="276"/>
      <c r="L385" s="276"/>
    </row>
    <row r="386" spans="1:12" ht="15" customHeight="1">
      <c r="A386" s="383"/>
      <c r="B386" s="381" t="s">
        <v>462</v>
      </c>
      <c r="C386" s="381"/>
      <c r="D386" s="6" t="s">
        <v>328</v>
      </c>
      <c r="E386" s="3">
        <v>10</v>
      </c>
      <c r="F386" s="7">
        <v>200</v>
      </c>
      <c r="G386" s="7">
        <f t="shared" ref="G386:G387" si="33">E386*F386</f>
        <v>2000</v>
      </c>
      <c r="J386" s="276"/>
      <c r="K386" s="276"/>
      <c r="L386" s="276"/>
    </row>
    <row r="387" spans="1:12" ht="15" customHeight="1">
      <c r="A387" s="383"/>
      <c r="B387" s="381" t="s">
        <v>469</v>
      </c>
      <c r="C387" s="381"/>
      <c r="D387" s="6" t="s">
        <v>328</v>
      </c>
      <c r="E387" s="3">
        <v>20</v>
      </c>
      <c r="F387" s="7">
        <v>200</v>
      </c>
      <c r="G387" s="7">
        <f t="shared" si="33"/>
        <v>4000</v>
      </c>
      <c r="J387" s="276"/>
      <c r="K387" s="276"/>
      <c r="L387" s="276"/>
    </row>
    <row r="388" spans="1:12" ht="15" customHeight="1">
      <c r="A388" s="382" t="s">
        <v>16</v>
      </c>
      <c r="B388" s="382"/>
      <c r="C388" s="382"/>
      <c r="D388" s="1" t="s">
        <v>220</v>
      </c>
      <c r="E388" s="1" t="s">
        <v>221</v>
      </c>
      <c r="F388" s="1" t="s">
        <v>222</v>
      </c>
      <c r="G388" s="1" t="s">
        <v>223</v>
      </c>
      <c r="J388" s="276"/>
      <c r="K388" s="276"/>
      <c r="L388" s="276"/>
    </row>
    <row r="389" spans="1:12" ht="40.5" customHeight="1">
      <c r="A389" s="383" t="str">
        <f>'1.Detailed budget'!P54</f>
        <v>AW</v>
      </c>
      <c r="B389" s="384" t="s">
        <v>470</v>
      </c>
      <c r="C389" s="384"/>
      <c r="D389" s="2"/>
      <c r="E389" s="3"/>
      <c r="F389" s="4"/>
      <c r="G389" s="5">
        <f>SUM(G390:G393)</f>
        <v>30000</v>
      </c>
      <c r="H389" s="149"/>
      <c r="I389" s="149"/>
      <c r="J389" s="276"/>
      <c r="K389" s="276"/>
      <c r="L389" s="276"/>
    </row>
    <row r="390" spans="1:12" ht="15" customHeight="1">
      <c r="A390" s="383"/>
      <c r="B390" s="381" t="s">
        <v>471</v>
      </c>
      <c r="C390" s="381"/>
      <c r="D390" s="6" t="s">
        <v>328</v>
      </c>
      <c r="E390" s="3">
        <v>3</v>
      </c>
      <c r="F390" s="7">
        <v>2500</v>
      </c>
      <c r="G390" s="7">
        <f>E390*F390</f>
        <v>7500</v>
      </c>
      <c r="J390" s="276"/>
      <c r="K390" s="276"/>
      <c r="L390" s="276"/>
    </row>
    <row r="391" spans="1:12" ht="15" customHeight="1">
      <c r="A391" s="383"/>
      <c r="B391" s="381" t="s">
        <v>472</v>
      </c>
      <c r="C391" s="381"/>
      <c r="D391" s="6" t="s">
        <v>328</v>
      </c>
      <c r="E391" s="3">
        <v>4</v>
      </c>
      <c r="F391" s="7">
        <v>2500</v>
      </c>
      <c r="G391" s="7">
        <f>E391*F391</f>
        <v>10000</v>
      </c>
      <c r="J391" s="276"/>
      <c r="K391" s="276"/>
      <c r="L391" s="276"/>
    </row>
    <row r="392" spans="1:12" ht="15" customHeight="1">
      <c r="A392" s="383"/>
      <c r="B392" s="381" t="s">
        <v>473</v>
      </c>
      <c r="C392" s="381"/>
      <c r="D392" s="6" t="s">
        <v>328</v>
      </c>
      <c r="E392" s="3">
        <v>3</v>
      </c>
      <c r="F392" s="7">
        <v>2500</v>
      </c>
      <c r="G392" s="7">
        <f>E392*F392</f>
        <v>7500</v>
      </c>
      <c r="J392" s="276"/>
      <c r="K392" s="276"/>
      <c r="L392" s="276"/>
    </row>
    <row r="393" spans="1:12" ht="15" customHeight="1">
      <c r="A393" s="383"/>
      <c r="B393" s="381" t="s">
        <v>474</v>
      </c>
      <c r="C393" s="381"/>
      <c r="D393" s="6" t="s">
        <v>328</v>
      </c>
      <c r="E393" s="3">
        <v>2</v>
      </c>
      <c r="F393" s="7">
        <v>2500</v>
      </c>
      <c r="G393" s="7">
        <f>E393*F393</f>
        <v>5000</v>
      </c>
      <c r="J393" s="276"/>
      <c r="K393" s="276"/>
      <c r="L393" s="276"/>
    </row>
    <row r="394" spans="1:12" ht="15" customHeight="1">
      <c r="A394" s="382" t="s">
        <v>16</v>
      </c>
      <c r="B394" s="382"/>
      <c r="C394" s="382"/>
      <c r="D394" s="1" t="s">
        <v>220</v>
      </c>
      <c r="E394" s="1" t="s">
        <v>221</v>
      </c>
      <c r="F394" s="1" t="s">
        <v>222</v>
      </c>
      <c r="G394" s="1" t="s">
        <v>223</v>
      </c>
      <c r="J394" s="276"/>
      <c r="K394" s="276"/>
      <c r="L394" s="276"/>
    </row>
    <row r="395" spans="1:12" ht="31.5" customHeight="1">
      <c r="A395" s="383" t="str">
        <f>'1.Detailed budget'!P55</f>
        <v>AX</v>
      </c>
      <c r="B395" s="386" t="s">
        <v>475</v>
      </c>
      <c r="C395" s="384"/>
      <c r="D395" s="2"/>
      <c r="E395" s="3"/>
      <c r="F395" s="4"/>
      <c r="G395" s="152">
        <f>SUM(G396:G399)</f>
        <v>30000</v>
      </c>
      <c r="H395" s="149"/>
      <c r="I395" s="149"/>
      <c r="J395" s="276"/>
      <c r="K395" s="276"/>
      <c r="L395" s="276"/>
    </row>
    <row r="396" spans="1:12" ht="15" customHeight="1">
      <c r="A396" s="383"/>
      <c r="B396" s="381" t="s">
        <v>462</v>
      </c>
      <c r="C396" s="381"/>
      <c r="D396" s="6" t="s">
        <v>328</v>
      </c>
      <c r="E396" s="3">
        <v>3</v>
      </c>
      <c r="F396" s="7">
        <v>2500</v>
      </c>
      <c r="G396" s="7">
        <f>E396*F396</f>
        <v>7500</v>
      </c>
      <c r="J396" s="276"/>
      <c r="K396" s="276"/>
      <c r="L396" s="276"/>
    </row>
    <row r="397" spans="1:12" ht="15" customHeight="1">
      <c r="A397" s="383"/>
      <c r="B397" s="381" t="s">
        <v>463</v>
      </c>
      <c r="C397" s="381"/>
      <c r="D397" s="6" t="s">
        <v>328</v>
      </c>
      <c r="E397" s="3">
        <v>4</v>
      </c>
      <c r="F397" s="7">
        <v>2500</v>
      </c>
      <c r="G397" s="7">
        <f>E397*F397</f>
        <v>10000</v>
      </c>
      <c r="J397" s="276"/>
      <c r="K397" s="276"/>
      <c r="L397" s="276"/>
    </row>
    <row r="398" spans="1:12" ht="15" customHeight="1">
      <c r="A398" s="383"/>
      <c r="B398" s="381" t="s">
        <v>464</v>
      </c>
      <c r="C398" s="381"/>
      <c r="D398" s="6" t="s">
        <v>328</v>
      </c>
      <c r="E398" s="3">
        <v>3</v>
      </c>
      <c r="F398" s="7">
        <v>2500</v>
      </c>
      <c r="G398" s="7">
        <f>E398*F398</f>
        <v>7500</v>
      </c>
      <c r="J398" s="276"/>
      <c r="K398" s="276"/>
      <c r="L398" s="276"/>
    </row>
    <row r="399" spans="1:12" ht="39.75" customHeight="1">
      <c r="A399" s="383"/>
      <c r="B399" s="381" t="s">
        <v>465</v>
      </c>
      <c r="C399" s="381"/>
      <c r="D399" s="6" t="s">
        <v>328</v>
      </c>
      <c r="E399" s="3">
        <v>2</v>
      </c>
      <c r="F399" s="7">
        <v>2500</v>
      </c>
      <c r="G399" s="7">
        <f>E399*F399</f>
        <v>5000</v>
      </c>
      <c r="J399" s="276"/>
      <c r="K399" s="276"/>
      <c r="L399" s="276"/>
    </row>
    <row r="400" spans="1:12" ht="15" customHeight="1">
      <c r="A400" s="382" t="s">
        <v>16</v>
      </c>
      <c r="B400" s="382"/>
      <c r="C400" s="382"/>
      <c r="D400" s="1" t="s">
        <v>220</v>
      </c>
      <c r="E400" s="1" t="s">
        <v>221</v>
      </c>
      <c r="F400" s="1" t="s">
        <v>222</v>
      </c>
      <c r="G400" s="1" t="s">
        <v>223</v>
      </c>
      <c r="J400" s="276"/>
      <c r="K400" s="276"/>
      <c r="L400" s="276"/>
    </row>
    <row r="401" spans="1:12" ht="15" customHeight="1">
      <c r="A401" s="383" t="str">
        <f>'1.Detailed budget'!P56</f>
        <v>AY</v>
      </c>
      <c r="B401" s="386" t="s">
        <v>50</v>
      </c>
      <c r="C401" s="384"/>
      <c r="D401" s="2"/>
      <c r="E401" s="3"/>
      <c r="F401" s="4"/>
      <c r="G401" s="5">
        <f>SUM(G402:G404)</f>
        <v>551192.00080000004</v>
      </c>
      <c r="H401" s="149"/>
      <c r="I401" s="149"/>
      <c r="J401" s="276"/>
      <c r="K401" s="276"/>
      <c r="L401" s="276"/>
    </row>
    <row r="402" spans="1:12" ht="15" customHeight="1">
      <c r="A402" s="383"/>
      <c r="B402" s="272">
        <v>99</v>
      </c>
      <c r="C402" s="272" t="s">
        <v>476</v>
      </c>
      <c r="D402" s="271" t="s">
        <v>341</v>
      </c>
      <c r="E402" s="3">
        <v>84</v>
      </c>
      <c r="F402" s="7">
        <v>55</v>
      </c>
      <c r="G402" s="7">
        <f>B402*E402*F402</f>
        <v>457380</v>
      </c>
      <c r="J402" s="276"/>
      <c r="K402" s="276"/>
      <c r="L402" s="276"/>
    </row>
    <row r="403" spans="1:12" ht="15" customHeight="1">
      <c r="A403" s="383"/>
      <c r="B403" s="272">
        <v>14</v>
      </c>
      <c r="C403" s="272" t="s">
        <v>477</v>
      </c>
      <c r="D403" s="271" t="s">
        <v>341</v>
      </c>
      <c r="E403" s="3">
        <v>84</v>
      </c>
      <c r="F403" s="273">
        <v>20.2483</v>
      </c>
      <c r="G403" s="7">
        <f>B403*E403*F403</f>
        <v>23812.000800000002</v>
      </c>
      <c r="J403" s="276"/>
      <c r="K403" s="276"/>
      <c r="L403" s="276"/>
    </row>
    <row r="404" spans="1:12" ht="15" customHeight="1">
      <c r="A404" s="383"/>
      <c r="B404" s="272">
        <v>2</v>
      </c>
      <c r="C404" s="272" t="s">
        <v>478</v>
      </c>
      <c r="D404" s="271" t="s">
        <v>341</v>
      </c>
      <c r="E404" s="3">
        <v>84</v>
      </c>
      <c r="F404" s="7">
        <v>416.66666666666669</v>
      </c>
      <c r="G404" s="7">
        <f>B404*E404*F404</f>
        <v>70000</v>
      </c>
      <c r="J404" s="276"/>
      <c r="K404" s="276"/>
      <c r="L404" s="276"/>
    </row>
    <row r="405" spans="1:12" ht="15" customHeight="1">
      <c r="A405" s="382" t="s">
        <v>16</v>
      </c>
      <c r="B405" s="382"/>
      <c r="C405" s="382"/>
      <c r="D405" s="1" t="s">
        <v>220</v>
      </c>
      <c r="E405" s="1" t="s">
        <v>221</v>
      </c>
      <c r="F405" s="1" t="s">
        <v>222</v>
      </c>
      <c r="G405" s="1" t="s">
        <v>223</v>
      </c>
      <c r="J405" s="276"/>
      <c r="K405" s="276"/>
      <c r="L405" s="276"/>
    </row>
    <row r="406" spans="1:12" ht="15" customHeight="1">
      <c r="A406" s="383" t="str">
        <f>'1.Detailed budget'!P57</f>
        <v>AZ</v>
      </c>
      <c r="B406" s="386" t="s">
        <v>479</v>
      </c>
      <c r="C406" s="384"/>
      <c r="D406" s="2"/>
      <c r="E406" s="3"/>
      <c r="F406" s="4"/>
      <c r="G406" s="5">
        <f>SUM(G407:G409)</f>
        <v>11000</v>
      </c>
      <c r="H406" s="149"/>
      <c r="I406" s="149"/>
      <c r="J406" s="276"/>
      <c r="K406" s="276"/>
      <c r="L406" s="276"/>
    </row>
    <row r="407" spans="1:12" ht="34.5" customHeight="1">
      <c r="A407" s="383"/>
      <c r="B407" s="381" t="s">
        <v>480</v>
      </c>
      <c r="C407" s="381"/>
      <c r="D407" s="6" t="s">
        <v>328</v>
      </c>
      <c r="E407" s="3">
        <v>1</v>
      </c>
      <c r="F407" s="7">
        <v>6000</v>
      </c>
      <c r="G407" s="7">
        <f>E407*F407</f>
        <v>6000</v>
      </c>
      <c r="J407" s="276"/>
      <c r="K407" s="276"/>
      <c r="L407" s="276"/>
    </row>
    <row r="408" spans="1:12" ht="54.75" customHeight="1">
      <c r="A408" s="383"/>
      <c r="B408" s="381" t="s">
        <v>481</v>
      </c>
      <c r="C408" s="381"/>
      <c r="D408" s="6" t="s">
        <v>328</v>
      </c>
      <c r="E408" s="3">
        <v>1</v>
      </c>
      <c r="F408" s="7">
        <v>2500</v>
      </c>
      <c r="G408" s="7">
        <f>E408*F408</f>
        <v>2500</v>
      </c>
      <c r="J408" s="276"/>
      <c r="K408" s="276"/>
      <c r="L408" s="276"/>
    </row>
    <row r="409" spans="1:12" ht="55.5" customHeight="1">
      <c r="A409" s="383"/>
      <c r="B409" s="381" t="s">
        <v>482</v>
      </c>
      <c r="C409" s="381"/>
      <c r="D409" s="6" t="s">
        <v>328</v>
      </c>
      <c r="E409" s="3">
        <v>1</v>
      </c>
      <c r="F409" s="7">
        <v>2500</v>
      </c>
      <c r="G409" s="7">
        <f>E409*F409</f>
        <v>2500</v>
      </c>
      <c r="J409" s="276"/>
      <c r="K409" s="276"/>
      <c r="L409" s="276"/>
    </row>
    <row r="410" spans="1:12" ht="55.5" customHeight="1">
      <c r="A410" s="382" t="s">
        <v>16</v>
      </c>
      <c r="B410" s="382"/>
      <c r="C410" s="382"/>
      <c r="D410" s="1" t="s">
        <v>220</v>
      </c>
      <c r="E410" s="1" t="s">
        <v>221</v>
      </c>
      <c r="F410" s="1" t="s">
        <v>222</v>
      </c>
      <c r="G410" s="1" t="s">
        <v>223</v>
      </c>
      <c r="J410" s="276"/>
      <c r="K410" s="276"/>
      <c r="L410" s="276"/>
    </row>
    <row r="411" spans="1:12" ht="55.5" customHeight="1">
      <c r="A411" s="383" t="str">
        <f>'1.Detailed budget'!P58</f>
        <v>BA</v>
      </c>
      <c r="B411" s="386" t="s">
        <v>483</v>
      </c>
      <c r="C411" s="384"/>
      <c r="D411" s="2"/>
      <c r="E411" s="3"/>
      <c r="F411" s="4"/>
      <c r="G411" s="5">
        <f>SUM(G412:G413)</f>
        <v>7500</v>
      </c>
      <c r="H411" s="149"/>
      <c r="I411" s="149"/>
      <c r="J411" s="276"/>
      <c r="K411" s="276"/>
      <c r="L411" s="276"/>
    </row>
    <row r="412" spans="1:12">
      <c r="A412" s="383"/>
      <c r="B412" s="381" t="s">
        <v>484</v>
      </c>
      <c r="C412" s="381"/>
      <c r="D412" s="6" t="s">
        <v>328</v>
      </c>
      <c r="E412" s="3">
        <v>1</v>
      </c>
      <c r="F412" s="7">
        <v>3500</v>
      </c>
      <c r="G412" s="7">
        <f>E412*F412</f>
        <v>3500</v>
      </c>
      <c r="J412" s="276"/>
      <c r="K412" s="276"/>
      <c r="L412" s="276"/>
    </row>
    <row r="413" spans="1:12">
      <c r="A413" s="383"/>
      <c r="B413" s="381" t="s">
        <v>485</v>
      </c>
      <c r="C413" s="381"/>
      <c r="D413" s="6" t="s">
        <v>328</v>
      </c>
      <c r="E413" s="3">
        <v>1</v>
      </c>
      <c r="F413" s="7">
        <v>4000</v>
      </c>
      <c r="G413" s="7">
        <f>E413*F413</f>
        <v>4000</v>
      </c>
      <c r="J413" s="276"/>
      <c r="K413" s="276"/>
      <c r="L413" s="276"/>
    </row>
    <row r="414" spans="1:12" ht="55.5" customHeight="1">
      <c r="A414" s="382" t="s">
        <v>16</v>
      </c>
      <c r="B414" s="382"/>
      <c r="C414" s="382"/>
      <c r="D414" s="1" t="s">
        <v>220</v>
      </c>
      <c r="E414" s="1" t="s">
        <v>221</v>
      </c>
      <c r="F414" s="1" t="s">
        <v>222</v>
      </c>
      <c r="G414" s="1" t="s">
        <v>223</v>
      </c>
      <c r="J414" s="276"/>
      <c r="K414" s="276"/>
      <c r="L414" s="276"/>
    </row>
    <row r="415" spans="1:12">
      <c r="A415" s="383" t="str">
        <f>'1.Detailed budget'!P59</f>
        <v>BB</v>
      </c>
      <c r="B415" s="386" t="s">
        <v>486</v>
      </c>
      <c r="C415" s="384"/>
      <c r="D415" s="2"/>
      <c r="E415" s="3"/>
      <c r="F415" s="4"/>
      <c r="G415" s="5">
        <f>SUM(G416:G416)</f>
        <v>5000</v>
      </c>
      <c r="H415" s="149"/>
      <c r="I415" s="149"/>
      <c r="J415" s="276"/>
      <c r="K415" s="276"/>
      <c r="L415" s="276"/>
    </row>
    <row r="416" spans="1:12">
      <c r="A416" s="383"/>
      <c r="B416" s="381" t="s">
        <v>487</v>
      </c>
      <c r="C416" s="381"/>
      <c r="D416" s="6" t="s">
        <v>328</v>
      </c>
      <c r="E416" s="3">
        <v>1</v>
      </c>
      <c r="F416" s="7">
        <v>5000</v>
      </c>
      <c r="G416" s="7">
        <f>E416*F416</f>
        <v>5000</v>
      </c>
      <c r="J416" s="276"/>
      <c r="K416" s="276"/>
      <c r="L416" s="276"/>
    </row>
    <row r="417" spans="1:12" ht="15" customHeight="1">
      <c r="A417" s="382" t="s">
        <v>16</v>
      </c>
      <c r="B417" s="382"/>
      <c r="C417" s="382"/>
      <c r="D417" s="1" t="s">
        <v>220</v>
      </c>
      <c r="E417" s="1" t="s">
        <v>221</v>
      </c>
      <c r="F417" s="1" t="s">
        <v>222</v>
      </c>
      <c r="G417" s="1" t="s">
        <v>223</v>
      </c>
      <c r="J417" s="276"/>
      <c r="K417" s="276"/>
      <c r="L417" s="276"/>
    </row>
    <row r="418" spans="1:12">
      <c r="A418" s="383" t="str">
        <f>'1.Detailed budget'!P60</f>
        <v>BC</v>
      </c>
      <c r="B418" s="384" t="s">
        <v>488</v>
      </c>
      <c r="C418" s="384"/>
      <c r="D418" s="2"/>
      <c r="E418" s="3"/>
      <c r="F418" s="4"/>
      <c r="G418" s="5">
        <f>SUM(G419:G425)</f>
        <v>17500</v>
      </c>
      <c r="H418" s="149"/>
      <c r="I418" s="149"/>
      <c r="J418" s="276"/>
      <c r="K418" s="276"/>
      <c r="L418" s="276"/>
    </row>
    <row r="419" spans="1:12" ht="15" customHeight="1">
      <c r="A419" s="383"/>
      <c r="B419" s="381" t="s">
        <v>471</v>
      </c>
      <c r="C419" s="381"/>
      <c r="D419" s="6" t="s">
        <v>328</v>
      </c>
      <c r="E419" s="3">
        <v>1</v>
      </c>
      <c r="F419" s="7">
        <v>2500</v>
      </c>
      <c r="G419" s="7">
        <f>E419*F419</f>
        <v>2500</v>
      </c>
      <c r="J419" s="276"/>
      <c r="K419" s="276"/>
      <c r="L419" s="276"/>
    </row>
    <row r="420" spans="1:12" ht="15" customHeight="1">
      <c r="A420" s="383"/>
      <c r="B420" s="381" t="s">
        <v>472</v>
      </c>
      <c r="C420" s="381"/>
      <c r="D420" s="6" t="s">
        <v>328</v>
      </c>
      <c r="E420" s="3">
        <v>1</v>
      </c>
      <c r="F420" s="7">
        <v>2500</v>
      </c>
      <c r="G420" s="7">
        <f t="shared" ref="G420:G425" si="34">E420*F420</f>
        <v>2500</v>
      </c>
      <c r="J420" s="276"/>
      <c r="K420" s="276"/>
      <c r="L420" s="276"/>
    </row>
    <row r="421" spans="1:12" ht="15" customHeight="1">
      <c r="A421" s="383"/>
      <c r="B421" s="381" t="s">
        <v>473</v>
      </c>
      <c r="C421" s="381"/>
      <c r="D421" s="6" t="s">
        <v>328</v>
      </c>
      <c r="E421" s="3">
        <v>1</v>
      </c>
      <c r="F421" s="7">
        <v>2500</v>
      </c>
      <c r="G421" s="7">
        <f t="shared" si="34"/>
        <v>2500</v>
      </c>
      <c r="J421" s="276"/>
      <c r="K421" s="276"/>
      <c r="L421" s="276"/>
    </row>
    <row r="422" spans="1:12" ht="15" customHeight="1">
      <c r="A422" s="383"/>
      <c r="B422" s="381" t="s">
        <v>474</v>
      </c>
      <c r="C422" s="381"/>
      <c r="D422" s="6" t="s">
        <v>328</v>
      </c>
      <c r="E422" s="3">
        <v>1</v>
      </c>
      <c r="F422" s="7">
        <v>2500</v>
      </c>
      <c r="G422" s="7">
        <f t="shared" si="34"/>
        <v>2500</v>
      </c>
      <c r="J422" s="276"/>
      <c r="K422" s="276"/>
      <c r="L422" s="276"/>
    </row>
    <row r="423" spans="1:12" ht="15" customHeight="1">
      <c r="A423" s="383"/>
      <c r="B423" s="381" t="s">
        <v>489</v>
      </c>
      <c r="C423" s="381"/>
      <c r="D423" s="6" t="s">
        <v>328</v>
      </c>
      <c r="E423" s="3">
        <v>1</v>
      </c>
      <c r="F423" s="7">
        <v>2500</v>
      </c>
      <c r="G423" s="7">
        <f t="shared" si="34"/>
        <v>2500</v>
      </c>
      <c r="J423" s="276"/>
      <c r="K423" s="276"/>
      <c r="L423" s="276"/>
    </row>
    <row r="424" spans="1:12" ht="15" customHeight="1">
      <c r="A424" s="383"/>
      <c r="B424" s="381" t="s">
        <v>490</v>
      </c>
      <c r="C424" s="381"/>
      <c r="D424" s="6" t="s">
        <v>328</v>
      </c>
      <c r="E424" s="3">
        <v>1</v>
      </c>
      <c r="F424" s="7">
        <v>2500</v>
      </c>
      <c r="G424" s="7">
        <f t="shared" si="34"/>
        <v>2500</v>
      </c>
      <c r="J424" s="276"/>
      <c r="K424" s="276"/>
      <c r="L424" s="276"/>
    </row>
    <row r="425" spans="1:12" ht="15" customHeight="1">
      <c r="A425" s="383"/>
      <c r="B425" s="381" t="s">
        <v>491</v>
      </c>
      <c r="C425" s="381"/>
      <c r="D425" s="6" t="s">
        <v>328</v>
      </c>
      <c r="E425" s="3">
        <v>1</v>
      </c>
      <c r="F425" s="7">
        <v>2500</v>
      </c>
      <c r="G425" s="7">
        <f t="shared" si="34"/>
        <v>2500</v>
      </c>
      <c r="J425" s="276"/>
      <c r="K425" s="276"/>
      <c r="L425" s="276"/>
    </row>
    <row r="426" spans="1:12" ht="15" customHeight="1">
      <c r="A426" s="382" t="s">
        <v>16</v>
      </c>
      <c r="B426" s="382"/>
      <c r="C426" s="382"/>
      <c r="D426" s="1" t="s">
        <v>220</v>
      </c>
      <c r="E426" s="1" t="s">
        <v>221</v>
      </c>
      <c r="F426" s="1" t="s">
        <v>222</v>
      </c>
      <c r="G426" s="1" t="s">
        <v>223</v>
      </c>
      <c r="J426" s="276"/>
      <c r="K426" s="276"/>
      <c r="L426" s="276"/>
    </row>
    <row r="427" spans="1:12" ht="34.5" customHeight="1">
      <c r="A427" s="383" t="str">
        <f>'1.Detailed budget'!P61</f>
        <v>BD</v>
      </c>
      <c r="B427" s="384" t="s">
        <v>492</v>
      </c>
      <c r="C427" s="384"/>
      <c r="D427" s="2"/>
      <c r="E427" s="3"/>
      <c r="F427" s="4"/>
      <c r="G427" s="5">
        <f>SUM(G428:G432)</f>
        <v>7500</v>
      </c>
      <c r="H427" s="149"/>
      <c r="I427" s="149"/>
      <c r="J427" s="276"/>
      <c r="K427" s="276"/>
      <c r="L427" s="276"/>
    </row>
    <row r="428" spans="1:12" ht="15" customHeight="1">
      <c r="A428" s="383"/>
      <c r="B428" s="381" t="s">
        <v>471</v>
      </c>
      <c r="C428" s="381"/>
      <c r="D428" s="6" t="s">
        <v>328</v>
      </c>
      <c r="E428" s="3">
        <v>1</v>
      </c>
      <c r="F428" s="7">
        <v>1500</v>
      </c>
      <c r="G428" s="7">
        <f>E428*F428</f>
        <v>1500</v>
      </c>
      <c r="J428" s="276"/>
      <c r="K428" s="276"/>
      <c r="L428" s="276"/>
    </row>
    <row r="429" spans="1:12" ht="15" customHeight="1">
      <c r="A429" s="383"/>
      <c r="B429" s="381" t="s">
        <v>472</v>
      </c>
      <c r="C429" s="381"/>
      <c r="D429" s="6" t="s">
        <v>328</v>
      </c>
      <c r="E429" s="3">
        <v>1</v>
      </c>
      <c r="F429" s="7">
        <v>1500</v>
      </c>
      <c r="G429" s="7">
        <f t="shared" ref="G429:G432" si="35">E429*F429</f>
        <v>1500</v>
      </c>
      <c r="J429" s="276"/>
      <c r="K429" s="276"/>
      <c r="L429" s="276"/>
    </row>
    <row r="430" spans="1:12" ht="15" customHeight="1">
      <c r="A430" s="383"/>
      <c r="B430" s="381" t="s">
        <v>473</v>
      </c>
      <c r="C430" s="381"/>
      <c r="D430" s="6" t="s">
        <v>328</v>
      </c>
      <c r="E430" s="3">
        <v>1</v>
      </c>
      <c r="F430" s="7">
        <v>1500</v>
      </c>
      <c r="G430" s="7">
        <f t="shared" si="35"/>
        <v>1500</v>
      </c>
      <c r="J430" s="276"/>
      <c r="K430" s="276"/>
      <c r="L430" s="276"/>
    </row>
    <row r="431" spans="1:12" ht="15" customHeight="1">
      <c r="A431" s="383"/>
      <c r="B431" s="381" t="s">
        <v>474</v>
      </c>
      <c r="C431" s="381"/>
      <c r="D431" s="6" t="s">
        <v>328</v>
      </c>
      <c r="E431" s="3">
        <v>1</v>
      </c>
      <c r="F431" s="7">
        <v>1500</v>
      </c>
      <c r="G431" s="7">
        <f t="shared" si="35"/>
        <v>1500</v>
      </c>
      <c r="J431" s="276"/>
      <c r="K431" s="276"/>
      <c r="L431" s="276"/>
    </row>
    <row r="432" spans="1:12" ht="15" customHeight="1">
      <c r="A432" s="383"/>
      <c r="B432" s="381" t="s">
        <v>489</v>
      </c>
      <c r="C432" s="381"/>
      <c r="D432" s="6" t="s">
        <v>328</v>
      </c>
      <c r="E432" s="3">
        <v>1</v>
      </c>
      <c r="F432" s="7">
        <v>1500</v>
      </c>
      <c r="G432" s="7">
        <f t="shared" si="35"/>
        <v>1500</v>
      </c>
      <c r="J432" s="276"/>
      <c r="K432" s="276"/>
      <c r="L432" s="276"/>
    </row>
    <row r="433" spans="1:12" ht="15" customHeight="1">
      <c r="A433" s="382" t="s">
        <v>16</v>
      </c>
      <c r="B433" s="382"/>
      <c r="C433" s="382"/>
      <c r="D433" s="1" t="s">
        <v>220</v>
      </c>
      <c r="E433" s="1" t="s">
        <v>221</v>
      </c>
      <c r="F433" s="1" t="s">
        <v>222</v>
      </c>
      <c r="G433" s="1" t="s">
        <v>223</v>
      </c>
      <c r="J433" s="276"/>
      <c r="K433" s="276"/>
      <c r="L433" s="276"/>
    </row>
    <row r="434" spans="1:12" ht="36" customHeight="1">
      <c r="A434" s="383" t="str">
        <f>'1.Detailed budget'!P62</f>
        <v>BE</v>
      </c>
      <c r="B434" s="384" t="s">
        <v>493</v>
      </c>
      <c r="C434" s="384"/>
      <c r="D434" s="2"/>
      <c r="E434" s="3"/>
      <c r="F434" s="4"/>
      <c r="G434" s="5">
        <f>SUM(G435:G441)</f>
        <v>10500</v>
      </c>
      <c r="H434" s="149"/>
      <c r="I434" s="149"/>
      <c r="J434" s="276"/>
      <c r="K434" s="276"/>
      <c r="L434" s="276"/>
    </row>
    <row r="435" spans="1:12" ht="15" customHeight="1">
      <c r="A435" s="383"/>
      <c r="B435" s="381" t="s">
        <v>471</v>
      </c>
      <c r="C435" s="381"/>
      <c r="D435" s="6" t="s">
        <v>328</v>
      </c>
      <c r="E435" s="3">
        <v>1</v>
      </c>
      <c r="F435" s="7">
        <v>1500</v>
      </c>
      <c r="G435" s="7">
        <f>E435*F435</f>
        <v>1500</v>
      </c>
      <c r="J435" s="276"/>
      <c r="K435" s="276"/>
      <c r="L435" s="276"/>
    </row>
    <row r="436" spans="1:12" ht="15" customHeight="1">
      <c r="A436" s="383"/>
      <c r="B436" s="381" t="s">
        <v>472</v>
      </c>
      <c r="C436" s="381"/>
      <c r="D436" s="6" t="s">
        <v>328</v>
      </c>
      <c r="E436" s="3">
        <v>1</v>
      </c>
      <c r="F436" s="7">
        <v>1500</v>
      </c>
      <c r="G436" s="7">
        <f t="shared" ref="G436:G441" si="36">E436*F436</f>
        <v>1500</v>
      </c>
      <c r="J436" s="276"/>
      <c r="K436" s="276"/>
      <c r="L436" s="276"/>
    </row>
    <row r="437" spans="1:12" ht="15" customHeight="1">
      <c r="A437" s="383"/>
      <c r="B437" s="381" t="s">
        <v>473</v>
      </c>
      <c r="C437" s="381"/>
      <c r="D437" s="6" t="s">
        <v>328</v>
      </c>
      <c r="E437" s="3">
        <v>1</v>
      </c>
      <c r="F437" s="7">
        <v>1500</v>
      </c>
      <c r="G437" s="7">
        <f t="shared" si="36"/>
        <v>1500</v>
      </c>
      <c r="J437" s="276"/>
      <c r="K437" s="276"/>
      <c r="L437" s="276"/>
    </row>
    <row r="438" spans="1:12" ht="15" customHeight="1">
      <c r="A438" s="383"/>
      <c r="B438" s="381" t="s">
        <v>474</v>
      </c>
      <c r="C438" s="381"/>
      <c r="D438" s="6" t="s">
        <v>328</v>
      </c>
      <c r="E438" s="3">
        <v>1</v>
      </c>
      <c r="F438" s="7">
        <v>1500</v>
      </c>
      <c r="G438" s="7">
        <f t="shared" si="36"/>
        <v>1500</v>
      </c>
      <c r="J438" s="276"/>
      <c r="K438" s="276"/>
      <c r="L438" s="276"/>
    </row>
    <row r="439" spans="1:12" ht="15" customHeight="1">
      <c r="A439" s="383"/>
      <c r="B439" s="381" t="s">
        <v>489</v>
      </c>
      <c r="C439" s="381"/>
      <c r="D439" s="6" t="s">
        <v>328</v>
      </c>
      <c r="E439" s="3">
        <v>1</v>
      </c>
      <c r="F439" s="7">
        <v>1500</v>
      </c>
      <c r="G439" s="7">
        <f t="shared" si="36"/>
        <v>1500</v>
      </c>
      <c r="J439" s="276"/>
      <c r="K439" s="276"/>
      <c r="L439" s="276"/>
    </row>
    <row r="440" spans="1:12" ht="15" customHeight="1">
      <c r="A440" s="383"/>
      <c r="B440" s="381" t="s">
        <v>490</v>
      </c>
      <c r="C440" s="381"/>
      <c r="D440" s="6" t="s">
        <v>328</v>
      </c>
      <c r="E440" s="3">
        <v>1</v>
      </c>
      <c r="F440" s="7">
        <v>1500</v>
      </c>
      <c r="G440" s="7">
        <f t="shared" si="36"/>
        <v>1500</v>
      </c>
      <c r="J440" s="276"/>
      <c r="K440" s="276"/>
      <c r="L440" s="276"/>
    </row>
    <row r="441" spans="1:12" ht="15" customHeight="1">
      <c r="A441" s="383"/>
      <c r="B441" s="381" t="s">
        <v>491</v>
      </c>
      <c r="C441" s="381"/>
      <c r="D441" s="6" t="s">
        <v>328</v>
      </c>
      <c r="E441" s="3">
        <v>1</v>
      </c>
      <c r="F441" s="7">
        <v>1500</v>
      </c>
      <c r="G441" s="7">
        <f t="shared" si="36"/>
        <v>1500</v>
      </c>
      <c r="J441" s="276"/>
      <c r="K441" s="276"/>
      <c r="L441" s="276"/>
    </row>
    <row r="442" spans="1:12" ht="15" customHeight="1">
      <c r="A442" s="382" t="s">
        <v>16</v>
      </c>
      <c r="B442" s="382"/>
      <c r="C442" s="382"/>
      <c r="D442" s="1" t="s">
        <v>220</v>
      </c>
      <c r="E442" s="1" t="s">
        <v>221</v>
      </c>
      <c r="F442" s="1" t="s">
        <v>222</v>
      </c>
      <c r="G442" s="1" t="s">
        <v>223</v>
      </c>
      <c r="J442" s="276"/>
      <c r="K442" s="276"/>
      <c r="L442" s="276"/>
    </row>
    <row r="443" spans="1:12" ht="36.75" customHeight="1">
      <c r="A443" s="383" t="str">
        <f>'1.Detailed budget'!P63</f>
        <v>BF</v>
      </c>
      <c r="B443" s="384" t="s">
        <v>494</v>
      </c>
      <c r="C443" s="384"/>
      <c r="D443" s="2"/>
      <c r="E443" s="3"/>
      <c r="F443" s="4"/>
      <c r="G443" s="5">
        <f>SUM(G444:G445)</f>
        <v>6000</v>
      </c>
      <c r="H443" s="149"/>
      <c r="I443" s="149"/>
      <c r="J443" s="276"/>
      <c r="K443" s="276"/>
      <c r="L443" s="276"/>
    </row>
    <row r="444" spans="1:12" ht="15" customHeight="1">
      <c r="A444" s="383"/>
      <c r="B444" s="381" t="s">
        <v>472</v>
      </c>
      <c r="C444" s="381"/>
      <c r="D444" s="6" t="s">
        <v>328</v>
      </c>
      <c r="E444" s="3">
        <v>3</v>
      </c>
      <c r="F444" s="7">
        <v>1000</v>
      </c>
      <c r="G444" s="7">
        <f t="shared" ref="G444:G445" si="37">E444*F444</f>
        <v>3000</v>
      </c>
      <c r="J444" s="276"/>
      <c r="K444" s="276"/>
      <c r="L444" s="276"/>
    </row>
    <row r="445" spans="1:12" ht="15" customHeight="1">
      <c r="A445" s="383"/>
      <c r="B445" s="381" t="s">
        <v>473</v>
      </c>
      <c r="C445" s="381"/>
      <c r="D445" s="6" t="s">
        <v>328</v>
      </c>
      <c r="E445" s="3">
        <v>3</v>
      </c>
      <c r="F445" s="7">
        <v>1000</v>
      </c>
      <c r="G445" s="7">
        <f t="shared" si="37"/>
        <v>3000</v>
      </c>
      <c r="J445" s="276"/>
      <c r="K445" s="276"/>
      <c r="L445" s="276"/>
    </row>
    <row r="446" spans="1:12" ht="29.1">
      <c r="A446" s="382" t="s">
        <v>16</v>
      </c>
      <c r="B446" s="382"/>
      <c r="C446" s="382"/>
      <c r="D446" s="1" t="s">
        <v>220</v>
      </c>
      <c r="E446" s="1" t="s">
        <v>221</v>
      </c>
      <c r="F446" s="1" t="s">
        <v>222</v>
      </c>
      <c r="G446" s="1" t="s">
        <v>223</v>
      </c>
      <c r="J446" s="276"/>
      <c r="K446" s="276"/>
      <c r="L446" s="276"/>
    </row>
    <row r="447" spans="1:12">
      <c r="A447" s="383" t="str">
        <f>'1.Detailed budget'!P65</f>
        <v>BG</v>
      </c>
      <c r="B447" s="384" t="s">
        <v>495</v>
      </c>
      <c r="C447" s="384"/>
      <c r="D447" s="2"/>
      <c r="E447" s="3"/>
      <c r="F447" s="4"/>
      <c r="G447" s="152">
        <f>SUM(G448:G454)</f>
        <v>591600</v>
      </c>
      <c r="H447" s="149"/>
      <c r="I447" s="149"/>
      <c r="J447" s="276"/>
      <c r="K447" s="276"/>
      <c r="L447" s="276"/>
    </row>
    <row r="448" spans="1:12" ht="15" customHeight="1">
      <c r="A448" s="383"/>
      <c r="B448" s="25">
        <v>1</v>
      </c>
      <c r="C448" s="26" t="s">
        <v>496</v>
      </c>
      <c r="D448" s="6" t="s">
        <v>341</v>
      </c>
      <c r="E448" s="3">
        <v>84</v>
      </c>
      <c r="F448" s="7">
        <v>900</v>
      </c>
      <c r="G448" s="7">
        <f t="shared" ref="G448:G454" si="38">B448*E448*F448</f>
        <v>75600</v>
      </c>
      <c r="J448" s="276"/>
      <c r="K448" s="276"/>
      <c r="L448" s="276"/>
    </row>
    <row r="449" spans="1:12" ht="15" customHeight="1">
      <c r="A449" s="383"/>
      <c r="B449" s="25">
        <v>1</v>
      </c>
      <c r="C449" s="26" t="s">
        <v>497</v>
      </c>
      <c r="D449" s="6" t="s">
        <v>341</v>
      </c>
      <c r="E449" s="3">
        <v>84</v>
      </c>
      <c r="F449" s="7">
        <v>900</v>
      </c>
      <c r="G449" s="7">
        <f t="shared" si="38"/>
        <v>75600</v>
      </c>
      <c r="J449" s="276"/>
      <c r="K449" s="276"/>
      <c r="L449" s="276"/>
    </row>
    <row r="450" spans="1:12" ht="15" customHeight="1">
      <c r="A450" s="383"/>
      <c r="B450" s="25">
        <v>1</v>
      </c>
      <c r="C450" s="26" t="s">
        <v>498</v>
      </c>
      <c r="D450" s="6" t="s">
        <v>341</v>
      </c>
      <c r="E450" s="3">
        <v>84</v>
      </c>
      <c r="F450" s="7">
        <v>900</v>
      </c>
      <c r="G450" s="7">
        <f t="shared" si="38"/>
        <v>75600</v>
      </c>
      <c r="J450" s="276"/>
      <c r="K450" s="276"/>
      <c r="L450" s="276"/>
    </row>
    <row r="451" spans="1:12" ht="15" customHeight="1">
      <c r="A451" s="383"/>
      <c r="B451" s="25">
        <v>1</v>
      </c>
      <c r="C451" s="26" t="s">
        <v>499</v>
      </c>
      <c r="D451" s="6" t="s">
        <v>466</v>
      </c>
      <c r="E451" s="3">
        <v>600</v>
      </c>
      <c r="F451" s="7">
        <v>300</v>
      </c>
      <c r="G451" s="7">
        <f t="shared" si="38"/>
        <v>180000</v>
      </c>
      <c r="J451" s="276"/>
      <c r="K451" s="276"/>
      <c r="L451" s="276"/>
    </row>
    <row r="452" spans="1:12">
      <c r="A452" s="383"/>
      <c r="B452" s="25">
        <v>1</v>
      </c>
      <c r="C452" s="26" t="s">
        <v>500</v>
      </c>
      <c r="D452" s="6" t="s">
        <v>341</v>
      </c>
      <c r="E452" s="3">
        <v>84</v>
      </c>
      <c r="F452" s="7">
        <v>850</v>
      </c>
      <c r="G452" s="7">
        <f t="shared" si="38"/>
        <v>71400</v>
      </c>
      <c r="J452" s="276"/>
      <c r="K452" s="276"/>
      <c r="L452" s="276"/>
    </row>
    <row r="453" spans="1:12">
      <c r="A453" s="383"/>
      <c r="B453" s="25">
        <v>1</v>
      </c>
      <c r="C453" s="26" t="s">
        <v>501</v>
      </c>
      <c r="D453" s="6" t="s">
        <v>341</v>
      </c>
      <c r="E453" s="3">
        <v>84</v>
      </c>
      <c r="F453" s="7">
        <v>850</v>
      </c>
      <c r="G453" s="7">
        <f t="shared" si="38"/>
        <v>71400</v>
      </c>
      <c r="J453" s="276"/>
      <c r="K453" s="276"/>
      <c r="L453" s="276"/>
    </row>
    <row r="454" spans="1:12">
      <c r="A454" s="383"/>
      <c r="B454" s="25">
        <v>1</v>
      </c>
      <c r="C454" s="26" t="s">
        <v>502</v>
      </c>
      <c r="D454" s="6" t="s">
        <v>341</v>
      </c>
      <c r="E454" s="3">
        <v>84</v>
      </c>
      <c r="F454" s="7">
        <v>500</v>
      </c>
      <c r="G454" s="7">
        <f t="shared" si="38"/>
        <v>42000</v>
      </c>
      <c r="J454" s="276"/>
      <c r="K454" s="276"/>
      <c r="L454" s="276"/>
    </row>
    <row r="455" spans="1:12" ht="29.1">
      <c r="A455" s="382" t="s">
        <v>16</v>
      </c>
      <c r="B455" s="382"/>
      <c r="C455" s="382"/>
      <c r="D455" s="1" t="s">
        <v>220</v>
      </c>
      <c r="E455" s="1" t="s">
        <v>221</v>
      </c>
      <c r="F455" s="1" t="s">
        <v>222</v>
      </c>
      <c r="G455" s="1" t="s">
        <v>223</v>
      </c>
      <c r="J455" s="276"/>
      <c r="K455" s="276"/>
      <c r="L455" s="276"/>
    </row>
    <row r="456" spans="1:12">
      <c r="A456" s="383" t="str">
        <f>'1.Detailed budget'!P66</f>
        <v>BH</v>
      </c>
      <c r="B456" s="384" t="s">
        <v>503</v>
      </c>
      <c r="C456" s="384"/>
      <c r="D456" s="2"/>
      <c r="E456" s="3"/>
      <c r="F456" s="4"/>
      <c r="G456" s="5">
        <f>SUM(G457:G457)</f>
        <v>90000</v>
      </c>
      <c r="H456" s="149"/>
      <c r="I456" s="149"/>
      <c r="J456" s="276"/>
      <c r="K456" s="276"/>
      <c r="L456" s="276"/>
    </row>
    <row r="457" spans="1:12" ht="13.5" customHeight="1">
      <c r="A457" s="383"/>
      <c r="B457" s="25">
        <v>1</v>
      </c>
      <c r="C457" s="26" t="s">
        <v>504</v>
      </c>
      <c r="D457" s="6" t="s">
        <v>341</v>
      </c>
      <c r="E457" s="3">
        <v>18</v>
      </c>
      <c r="F457" s="7">
        <v>5000</v>
      </c>
      <c r="G457" s="7">
        <f>B457*E457*F457</f>
        <v>90000</v>
      </c>
      <c r="J457" s="276"/>
      <c r="K457" s="276"/>
      <c r="L457" s="276"/>
    </row>
    <row r="458" spans="1:12" ht="29.1">
      <c r="A458" s="382" t="s">
        <v>16</v>
      </c>
      <c r="B458" s="382"/>
      <c r="C458" s="382"/>
      <c r="D458" s="1" t="s">
        <v>220</v>
      </c>
      <c r="E458" s="1" t="s">
        <v>221</v>
      </c>
      <c r="F458" s="1" t="s">
        <v>222</v>
      </c>
      <c r="G458" s="1" t="s">
        <v>223</v>
      </c>
      <c r="J458" s="276"/>
      <c r="K458" s="276"/>
      <c r="L458" s="276"/>
    </row>
    <row r="459" spans="1:12" ht="29.25" customHeight="1">
      <c r="A459" s="378" t="str">
        <f>'1.Detailed budget'!P67</f>
        <v>BI</v>
      </c>
      <c r="B459" s="384" t="s">
        <v>505</v>
      </c>
      <c r="C459" s="384"/>
      <c r="D459" s="2"/>
      <c r="E459" s="3"/>
      <c r="F459" s="4"/>
      <c r="G459" s="5">
        <f>SUM(G460:G465)</f>
        <v>155350</v>
      </c>
      <c r="H459" s="149"/>
      <c r="I459" s="149"/>
      <c r="J459" s="276"/>
      <c r="K459" s="276"/>
      <c r="L459" s="276"/>
    </row>
    <row r="460" spans="1:12">
      <c r="A460" s="379"/>
      <c r="B460" s="25">
        <v>1</v>
      </c>
      <c r="C460" s="26" t="s">
        <v>506</v>
      </c>
      <c r="D460" s="6" t="s">
        <v>341</v>
      </c>
      <c r="E460" s="3">
        <v>84</v>
      </c>
      <c r="F460" s="7">
        <v>298.71428571428572</v>
      </c>
      <c r="G460" s="7">
        <f>B460*E460*F460</f>
        <v>25092</v>
      </c>
      <c r="J460" s="276"/>
      <c r="K460" s="276"/>
      <c r="L460" s="276"/>
    </row>
    <row r="461" spans="1:12">
      <c r="A461" s="379"/>
      <c r="B461" s="25">
        <v>1</v>
      </c>
      <c r="C461" s="26" t="s">
        <v>507</v>
      </c>
      <c r="D461" s="6" t="s">
        <v>341</v>
      </c>
      <c r="E461" s="3">
        <v>84</v>
      </c>
      <c r="F461" s="7">
        <v>414.40476190476193</v>
      </c>
      <c r="G461" s="7">
        <f>B461*E461*F461</f>
        <v>34810</v>
      </c>
      <c r="J461" s="276"/>
      <c r="K461" s="276"/>
      <c r="L461" s="276"/>
    </row>
    <row r="462" spans="1:12">
      <c r="A462" s="379"/>
      <c r="B462" s="25">
        <v>1</v>
      </c>
      <c r="C462" s="26" t="s">
        <v>508</v>
      </c>
      <c r="D462" s="6" t="s">
        <v>341</v>
      </c>
      <c r="E462" s="3">
        <v>84</v>
      </c>
      <c r="F462" s="7">
        <v>452.95238095238096</v>
      </c>
      <c r="G462" s="7">
        <f>B462*E462*F462</f>
        <v>38048</v>
      </c>
      <c r="J462" s="276"/>
      <c r="K462" s="276"/>
      <c r="L462" s="276"/>
    </row>
    <row r="463" spans="1:12">
      <c r="A463" s="379"/>
      <c r="B463" s="25">
        <v>1</v>
      </c>
      <c r="C463" s="26" t="s">
        <v>509</v>
      </c>
      <c r="D463" s="6" t="s">
        <v>341</v>
      </c>
      <c r="E463" s="3">
        <v>84</v>
      </c>
      <c r="F463" s="7">
        <v>147.61904761904762</v>
      </c>
      <c r="G463" s="7">
        <f>B463*E463*F463</f>
        <v>12400</v>
      </c>
      <c r="J463" s="276"/>
      <c r="K463" s="276"/>
      <c r="L463" s="276"/>
    </row>
    <row r="464" spans="1:12">
      <c r="A464" s="379"/>
      <c r="B464" s="25">
        <v>1</v>
      </c>
      <c r="C464" s="26" t="s">
        <v>510</v>
      </c>
      <c r="D464" s="6" t="s">
        <v>226</v>
      </c>
      <c r="E464" s="3">
        <v>1</v>
      </c>
      <c r="F464" s="7">
        <v>25000</v>
      </c>
      <c r="G464" s="7">
        <f>B464*E464*F464</f>
        <v>25000</v>
      </c>
      <c r="J464" s="276"/>
      <c r="K464" s="276"/>
      <c r="L464" s="276"/>
    </row>
    <row r="465" spans="1:12">
      <c r="A465" s="380"/>
      <c r="B465" s="25">
        <v>1</v>
      </c>
      <c r="C465" s="26" t="s">
        <v>511</v>
      </c>
      <c r="D465" s="271"/>
      <c r="E465" s="3"/>
      <c r="F465" s="7"/>
      <c r="G465" s="7">
        <v>20000</v>
      </c>
      <c r="H465" s="27"/>
      <c r="J465" s="276"/>
      <c r="K465" s="276"/>
      <c r="L465" s="276"/>
    </row>
    <row r="466" spans="1:12" s="27" customFormat="1" ht="29.1">
      <c r="A466" s="382" t="s">
        <v>16</v>
      </c>
      <c r="B466" s="382"/>
      <c r="C466" s="382"/>
      <c r="D466" s="1" t="s">
        <v>220</v>
      </c>
      <c r="E466" s="1" t="s">
        <v>221</v>
      </c>
      <c r="F466" s="1" t="s">
        <v>222</v>
      </c>
      <c r="G466" s="1" t="s">
        <v>223</v>
      </c>
      <c r="J466" s="276"/>
      <c r="K466" s="276"/>
      <c r="L466" s="276"/>
    </row>
    <row r="467" spans="1:12" s="27" customFormat="1" ht="33.75" customHeight="1">
      <c r="A467" s="383" t="str">
        <f>'1.Detailed budget'!P68</f>
        <v>BJ</v>
      </c>
      <c r="B467" s="384" t="s">
        <v>512</v>
      </c>
      <c r="C467" s="384"/>
      <c r="D467" s="2"/>
      <c r="E467" s="3"/>
      <c r="F467" s="4"/>
      <c r="G467" s="5">
        <f>SUM(G468:G470)</f>
        <v>374850</v>
      </c>
      <c r="H467" s="155"/>
      <c r="I467" s="155"/>
      <c r="J467" s="276"/>
      <c r="K467" s="276"/>
      <c r="L467" s="276"/>
    </row>
    <row r="468" spans="1:12" s="27" customFormat="1" ht="57.75" customHeight="1">
      <c r="A468" s="383"/>
      <c r="B468" s="381" t="s">
        <v>513</v>
      </c>
      <c r="C468" s="381"/>
      <c r="D468" s="6" t="s">
        <v>226</v>
      </c>
      <c r="E468" s="3">
        <v>11</v>
      </c>
      <c r="F468" s="7">
        <f>25000*85%</f>
        <v>21250</v>
      </c>
      <c r="G468" s="7">
        <f>E468*F468</f>
        <v>233750</v>
      </c>
      <c r="J468" s="276"/>
      <c r="K468" s="276"/>
      <c r="L468" s="276"/>
    </row>
    <row r="469" spans="1:12" s="27" customFormat="1">
      <c r="A469" s="383"/>
      <c r="B469" s="381" t="s">
        <v>514</v>
      </c>
      <c r="C469" s="381"/>
      <c r="D469" s="6" t="s">
        <v>226</v>
      </c>
      <c r="E469" s="3">
        <v>1</v>
      </c>
      <c r="F469" s="7">
        <f>16000*85%</f>
        <v>13600</v>
      </c>
      <c r="G469" s="7">
        <f t="shared" ref="G469:G470" si="39">E469*F469</f>
        <v>13600</v>
      </c>
      <c r="J469" s="276"/>
      <c r="K469" s="276"/>
      <c r="L469" s="276"/>
    </row>
    <row r="470" spans="1:12" s="27" customFormat="1">
      <c r="A470" s="383"/>
      <c r="B470" s="381" t="s">
        <v>515</v>
      </c>
      <c r="C470" s="381"/>
      <c r="D470" s="6" t="s">
        <v>226</v>
      </c>
      <c r="E470" s="3">
        <v>25</v>
      </c>
      <c r="F470" s="7">
        <f>6000*85%</f>
        <v>5100</v>
      </c>
      <c r="G470" s="7">
        <f t="shared" si="39"/>
        <v>127500</v>
      </c>
      <c r="J470" s="276"/>
      <c r="K470" s="276"/>
      <c r="L470" s="276"/>
    </row>
    <row r="471" spans="1:12" s="27" customFormat="1" ht="29.1">
      <c r="A471" s="382" t="s">
        <v>16</v>
      </c>
      <c r="B471" s="382"/>
      <c r="C471" s="382"/>
      <c r="D471" s="1" t="s">
        <v>220</v>
      </c>
      <c r="E471" s="1" t="s">
        <v>221</v>
      </c>
      <c r="F471" s="1" t="s">
        <v>222</v>
      </c>
      <c r="G471" s="1" t="s">
        <v>223</v>
      </c>
      <c r="J471" s="276"/>
      <c r="K471" s="276"/>
      <c r="L471" s="276"/>
    </row>
    <row r="472" spans="1:12" s="27" customFormat="1" ht="30" customHeight="1">
      <c r="A472" s="383" t="str">
        <f>'1.Detailed budget'!P69</f>
        <v>BK</v>
      </c>
      <c r="B472" s="386" t="s">
        <v>190</v>
      </c>
      <c r="C472" s="384"/>
      <c r="D472" s="2"/>
      <c r="E472" s="3"/>
      <c r="F472" s="4"/>
      <c r="G472" s="5">
        <f>SUM(G473:G475)</f>
        <v>66150</v>
      </c>
      <c r="H472" s="155"/>
      <c r="I472" s="155"/>
      <c r="J472" s="276"/>
      <c r="K472" s="276"/>
      <c r="L472" s="276"/>
    </row>
    <row r="473" spans="1:12" s="27" customFormat="1" ht="15" customHeight="1">
      <c r="A473" s="383"/>
      <c r="B473" s="381" t="s">
        <v>516</v>
      </c>
      <c r="C473" s="381"/>
      <c r="D473" s="19" t="s">
        <v>256</v>
      </c>
      <c r="E473" s="3">
        <v>7</v>
      </c>
      <c r="F473" s="9">
        <f>G473/E473</f>
        <v>5892.8571428571431</v>
      </c>
      <c r="G473" s="7">
        <f>15%*(G468/0.85)</f>
        <v>41250</v>
      </c>
      <c r="J473" s="276"/>
      <c r="K473" s="276"/>
      <c r="L473" s="276"/>
    </row>
    <row r="474" spans="1:12" s="27" customFormat="1" ht="15" customHeight="1">
      <c r="A474" s="383"/>
      <c r="B474" s="381" t="s">
        <v>514</v>
      </c>
      <c r="C474" s="381"/>
      <c r="D474" s="19" t="s">
        <v>256</v>
      </c>
      <c r="E474" s="3">
        <v>7</v>
      </c>
      <c r="F474" s="9">
        <f>G474/E474</f>
        <v>342.85714285714283</v>
      </c>
      <c r="G474" s="7">
        <f>15%*(G469/0.85)</f>
        <v>2400</v>
      </c>
      <c r="J474" s="276"/>
      <c r="K474" s="276"/>
      <c r="L474" s="276"/>
    </row>
    <row r="475" spans="1:12" s="27" customFormat="1" ht="15" customHeight="1">
      <c r="A475" s="383"/>
      <c r="B475" s="381" t="s">
        <v>515</v>
      </c>
      <c r="C475" s="381"/>
      <c r="D475" s="19" t="s">
        <v>256</v>
      </c>
      <c r="E475" s="3">
        <v>7</v>
      </c>
      <c r="F475" s="9">
        <f>G475/E475</f>
        <v>3214.2857142857142</v>
      </c>
      <c r="G475" s="7">
        <f>15%*(G470/0.85)</f>
        <v>22500</v>
      </c>
      <c r="J475" s="276"/>
      <c r="K475" s="276"/>
      <c r="L475" s="276"/>
    </row>
    <row r="476" spans="1:12" ht="29.1">
      <c r="A476" s="382" t="s">
        <v>16</v>
      </c>
      <c r="B476" s="382"/>
      <c r="C476" s="382"/>
      <c r="D476" s="1" t="s">
        <v>220</v>
      </c>
      <c r="E476" s="1" t="s">
        <v>221</v>
      </c>
      <c r="F476" s="1" t="s">
        <v>222</v>
      </c>
      <c r="G476" s="1" t="s">
        <v>223</v>
      </c>
      <c r="J476" s="276"/>
      <c r="K476" s="276"/>
      <c r="L476" s="276"/>
    </row>
    <row r="477" spans="1:12" ht="36.75" customHeight="1">
      <c r="A477" s="383" t="str">
        <f>'1.Detailed budget'!P70</f>
        <v>BL</v>
      </c>
      <c r="B477" s="384" t="s">
        <v>517</v>
      </c>
      <c r="C477" s="384"/>
      <c r="D477" s="2"/>
      <c r="E477" s="3"/>
      <c r="F477" s="4"/>
      <c r="G477" s="5">
        <f>SUM(G478:G480)</f>
        <v>42068</v>
      </c>
      <c r="H477" s="149"/>
      <c r="I477" s="149"/>
      <c r="J477" s="276"/>
      <c r="K477" s="276"/>
      <c r="L477" s="276"/>
    </row>
    <row r="478" spans="1:12">
      <c r="A478" s="383"/>
      <c r="B478" s="381" t="s">
        <v>518</v>
      </c>
      <c r="C478" s="381"/>
      <c r="D478" s="6" t="s">
        <v>226</v>
      </c>
      <c r="E478" s="3">
        <v>11</v>
      </c>
      <c r="F478" s="7">
        <v>770</v>
      </c>
      <c r="G478" s="7">
        <f>E478*F478</f>
        <v>8470</v>
      </c>
      <c r="J478" s="276"/>
      <c r="K478" s="276"/>
      <c r="L478" s="276"/>
    </row>
    <row r="479" spans="1:12" ht="15" customHeight="1">
      <c r="A479" s="383"/>
      <c r="B479" s="381" t="s">
        <v>519</v>
      </c>
      <c r="C479" s="381"/>
      <c r="D479" s="6" t="s">
        <v>226</v>
      </c>
      <c r="E479" s="3">
        <v>24</v>
      </c>
      <c r="F479" s="7">
        <v>1212</v>
      </c>
      <c r="G479" s="7">
        <f t="shared" ref="G479:G480" si="40">E479*F479</f>
        <v>29088</v>
      </c>
      <c r="J479" s="276"/>
      <c r="K479" s="276"/>
      <c r="L479" s="276"/>
    </row>
    <row r="480" spans="1:12" ht="15" customHeight="1">
      <c r="A480" s="383"/>
      <c r="B480" s="381" t="s">
        <v>520</v>
      </c>
      <c r="C480" s="381"/>
      <c r="D480" s="6" t="s">
        <v>226</v>
      </c>
      <c r="E480" s="3">
        <v>11</v>
      </c>
      <c r="F480" s="7">
        <v>410</v>
      </c>
      <c r="G480" s="7">
        <f t="shared" si="40"/>
        <v>4510</v>
      </c>
      <c r="J480" s="276"/>
      <c r="K480" s="276"/>
      <c r="L480" s="276"/>
    </row>
    <row r="481" spans="1:12" ht="29.1">
      <c r="A481" s="382" t="s">
        <v>16</v>
      </c>
      <c r="B481" s="382"/>
      <c r="C481" s="382"/>
      <c r="D481" s="1" t="s">
        <v>220</v>
      </c>
      <c r="E481" s="1" t="s">
        <v>221</v>
      </c>
      <c r="F481" s="1" t="s">
        <v>222</v>
      </c>
      <c r="G481" s="1" t="s">
        <v>223</v>
      </c>
      <c r="J481" s="276"/>
      <c r="K481" s="276"/>
      <c r="L481" s="276"/>
    </row>
    <row r="482" spans="1:12" ht="50.25" customHeight="1">
      <c r="A482" s="383" t="str">
        <f>'1.Detailed budget'!P71</f>
        <v>BM</v>
      </c>
      <c r="B482" s="384" t="s">
        <v>521</v>
      </c>
      <c r="C482" s="384"/>
      <c r="D482" s="2"/>
      <c r="E482" s="3"/>
      <c r="F482" s="4"/>
      <c r="G482" s="5">
        <f>SUM(G483:G491)</f>
        <v>39146.666666666672</v>
      </c>
      <c r="H482" s="149"/>
      <c r="I482" s="149"/>
      <c r="J482" s="276"/>
      <c r="K482" s="276"/>
      <c r="L482" s="276"/>
    </row>
    <row r="483" spans="1:12">
      <c r="A483" s="383"/>
      <c r="B483" s="381" t="s">
        <v>522</v>
      </c>
      <c r="C483" s="381"/>
      <c r="D483" s="6" t="s">
        <v>226</v>
      </c>
      <c r="E483" s="3">
        <v>35</v>
      </c>
      <c r="F483" s="7">
        <v>64.761904761904859</v>
      </c>
      <c r="G483" s="7">
        <f>E483*F483</f>
        <v>2266.6666666666702</v>
      </c>
      <c r="J483" s="276"/>
      <c r="K483" s="276"/>
      <c r="L483" s="276"/>
    </row>
    <row r="484" spans="1:12" ht="15" customHeight="1">
      <c r="A484" s="383"/>
      <c r="B484" s="381" t="s">
        <v>523</v>
      </c>
      <c r="C484" s="381"/>
      <c r="D484" s="6" t="s">
        <v>226</v>
      </c>
      <c r="E484" s="3">
        <v>24</v>
      </c>
      <c r="F484" s="7">
        <v>300</v>
      </c>
      <c r="G484" s="7">
        <f t="shared" ref="G484:G489" si="41">E484*F484</f>
        <v>7200</v>
      </c>
      <c r="J484" s="276"/>
      <c r="K484" s="276"/>
      <c r="L484" s="276"/>
    </row>
    <row r="485" spans="1:12">
      <c r="A485" s="383"/>
      <c r="B485" s="381" t="s">
        <v>524</v>
      </c>
      <c r="C485" s="381"/>
      <c r="D485" s="6" t="s">
        <v>226</v>
      </c>
      <c r="E485" s="3">
        <v>11</v>
      </c>
      <c r="F485" s="7">
        <v>200</v>
      </c>
      <c r="G485" s="7">
        <f t="shared" si="41"/>
        <v>2200</v>
      </c>
      <c r="J485" s="276"/>
      <c r="K485" s="276"/>
      <c r="L485" s="276"/>
    </row>
    <row r="486" spans="1:12">
      <c r="A486" s="383"/>
      <c r="B486" s="381" t="s">
        <v>525</v>
      </c>
      <c r="C486" s="381"/>
      <c r="D486" s="6" t="s">
        <v>226</v>
      </c>
      <c r="E486" s="3">
        <v>11</v>
      </c>
      <c r="F486" s="7">
        <v>800</v>
      </c>
      <c r="G486" s="7">
        <f t="shared" si="41"/>
        <v>8800</v>
      </c>
      <c r="J486" s="276"/>
      <c r="K486" s="276"/>
      <c r="L486" s="276"/>
    </row>
    <row r="487" spans="1:12" ht="15" customHeight="1">
      <c r="A487" s="383"/>
      <c r="B487" s="381" t="s">
        <v>526</v>
      </c>
      <c r="C487" s="381"/>
      <c r="D487" s="6" t="s">
        <v>226</v>
      </c>
      <c r="E487" s="3">
        <v>11</v>
      </c>
      <c r="F487" s="7">
        <v>385</v>
      </c>
      <c r="G487" s="7">
        <f t="shared" si="41"/>
        <v>4235</v>
      </c>
      <c r="J487" s="276"/>
      <c r="K487" s="276"/>
      <c r="L487" s="276"/>
    </row>
    <row r="488" spans="1:12">
      <c r="A488" s="383"/>
      <c r="B488" s="381" t="s">
        <v>527</v>
      </c>
      <c r="C488" s="381"/>
      <c r="D488" s="6" t="s">
        <v>226</v>
      </c>
      <c r="E488" s="3">
        <v>11</v>
      </c>
      <c r="F488" s="7">
        <v>88.63636363636364</v>
      </c>
      <c r="G488" s="7">
        <f t="shared" si="41"/>
        <v>975</v>
      </c>
      <c r="J488" s="276"/>
      <c r="K488" s="276"/>
      <c r="L488" s="276"/>
    </row>
    <row r="489" spans="1:12">
      <c r="A489" s="383"/>
      <c r="B489" s="381" t="s">
        <v>528</v>
      </c>
      <c r="C489" s="381"/>
      <c r="D489" s="6" t="s">
        <v>226</v>
      </c>
      <c r="E489" s="3">
        <v>11</v>
      </c>
      <c r="F489" s="7">
        <v>24.545454545454547</v>
      </c>
      <c r="G489" s="7">
        <f t="shared" si="41"/>
        <v>270</v>
      </c>
      <c r="J489" s="276"/>
      <c r="K489" s="276"/>
      <c r="L489" s="276"/>
    </row>
    <row r="490" spans="1:12">
      <c r="A490" s="383"/>
      <c r="B490" s="381" t="s">
        <v>529</v>
      </c>
      <c r="C490" s="381"/>
      <c r="D490" s="6" t="s">
        <v>226</v>
      </c>
      <c r="E490" s="3">
        <v>14</v>
      </c>
      <c r="F490" s="7">
        <v>392.85714285714283</v>
      </c>
      <c r="G490" s="7">
        <f>E490*F490</f>
        <v>5500</v>
      </c>
      <c r="J490" s="276"/>
      <c r="K490" s="276"/>
      <c r="L490" s="276"/>
    </row>
    <row r="491" spans="1:12" ht="15" customHeight="1">
      <c r="A491" s="383"/>
      <c r="B491" s="381" t="s">
        <v>530</v>
      </c>
      <c r="C491" s="381"/>
      <c r="D491" s="6" t="s">
        <v>226</v>
      </c>
      <c r="E491" s="3">
        <v>11</v>
      </c>
      <c r="F491" s="7">
        <v>700</v>
      </c>
      <c r="G491" s="7">
        <f>E491*F491</f>
        <v>7700</v>
      </c>
      <c r="J491" s="276"/>
      <c r="K491" s="276"/>
      <c r="L491" s="276"/>
    </row>
    <row r="492" spans="1:12" ht="29.1">
      <c r="A492" s="382" t="s">
        <v>16</v>
      </c>
      <c r="B492" s="382"/>
      <c r="C492" s="382"/>
      <c r="D492" s="1" t="s">
        <v>220</v>
      </c>
      <c r="E492" s="1" t="s">
        <v>221</v>
      </c>
      <c r="F492" s="1" t="s">
        <v>222</v>
      </c>
      <c r="G492" s="1" t="s">
        <v>223</v>
      </c>
      <c r="J492" s="276"/>
      <c r="K492" s="276"/>
      <c r="L492" s="276"/>
    </row>
    <row r="493" spans="1:12" ht="51" customHeight="1">
      <c r="A493" s="383" t="str">
        <f>'1.Detailed budget'!P72</f>
        <v>BN</v>
      </c>
      <c r="B493" s="384" t="s">
        <v>531</v>
      </c>
      <c r="C493" s="384"/>
      <c r="D493" s="2"/>
      <c r="E493" s="3"/>
      <c r="F493" s="4"/>
      <c r="G493" s="5">
        <f>SUM(G494:G496)</f>
        <v>12978</v>
      </c>
      <c r="J493" s="276"/>
      <c r="K493" s="276"/>
      <c r="L493" s="276"/>
    </row>
    <row r="494" spans="1:12">
      <c r="A494" s="383"/>
      <c r="B494" s="381" t="s">
        <v>532</v>
      </c>
      <c r="C494" s="381"/>
      <c r="D494" s="6" t="s">
        <v>226</v>
      </c>
      <c r="E494" s="3">
        <v>14</v>
      </c>
      <c r="F494" s="7">
        <v>352</v>
      </c>
      <c r="G494" s="7">
        <f>E494*F494</f>
        <v>4928</v>
      </c>
      <c r="J494" s="276"/>
      <c r="K494" s="276"/>
      <c r="L494" s="276"/>
    </row>
    <row r="495" spans="1:12">
      <c r="A495" s="383"/>
      <c r="B495" s="381" t="s">
        <v>533</v>
      </c>
      <c r="C495" s="381"/>
      <c r="D495" s="6" t="s">
        <v>226</v>
      </c>
      <c r="E495" s="3">
        <v>35</v>
      </c>
      <c r="F495" s="7">
        <v>200</v>
      </c>
      <c r="G495" s="7">
        <f t="shared" ref="G495:G496" si="42">E495*F495</f>
        <v>7000</v>
      </c>
      <c r="J495" s="276"/>
      <c r="K495" s="276"/>
      <c r="L495" s="276"/>
    </row>
    <row r="496" spans="1:12">
      <c r="A496" s="383"/>
      <c r="B496" s="381" t="s">
        <v>534</v>
      </c>
      <c r="C496" s="381"/>
      <c r="D496" s="6" t="s">
        <v>226</v>
      </c>
      <c r="E496" s="3">
        <v>35</v>
      </c>
      <c r="F496" s="7">
        <v>30</v>
      </c>
      <c r="G496" s="7">
        <f t="shared" si="42"/>
        <v>1050</v>
      </c>
      <c r="J496" s="276"/>
      <c r="K496" s="276"/>
      <c r="L496" s="276"/>
    </row>
    <row r="497" spans="1:12" ht="29.1">
      <c r="A497" s="382" t="s">
        <v>16</v>
      </c>
      <c r="B497" s="382"/>
      <c r="C497" s="382"/>
      <c r="D497" s="1" t="s">
        <v>220</v>
      </c>
      <c r="E497" s="1" t="s">
        <v>221</v>
      </c>
      <c r="F497" s="1" t="s">
        <v>222</v>
      </c>
      <c r="G497" s="1" t="s">
        <v>223</v>
      </c>
      <c r="J497" s="276"/>
      <c r="K497" s="276"/>
      <c r="L497" s="276"/>
    </row>
    <row r="498" spans="1:12" ht="30.75" customHeight="1">
      <c r="A498" s="383" t="str">
        <f>'1.Detailed budget'!P73</f>
        <v>BO</v>
      </c>
      <c r="B498" s="384" t="s">
        <v>535</v>
      </c>
      <c r="C498" s="384"/>
      <c r="D498" s="2"/>
      <c r="E498" s="3"/>
      <c r="F498" s="4"/>
      <c r="G498" s="5">
        <f>SUM(G499:G499)</f>
        <v>387936</v>
      </c>
      <c r="J498" s="276"/>
      <c r="K498" s="276"/>
      <c r="L498" s="276"/>
    </row>
    <row r="499" spans="1:12">
      <c r="A499" s="383"/>
      <c r="B499" s="381" t="s">
        <v>536</v>
      </c>
      <c r="C499" s="381"/>
      <c r="D499" s="6" t="s">
        <v>328</v>
      </c>
      <c r="E499" s="3">
        <v>37</v>
      </c>
      <c r="F499" s="7">
        <v>10484.756756756757</v>
      </c>
      <c r="G499" s="7">
        <f>E499*F499</f>
        <v>387936</v>
      </c>
      <c r="J499" s="276"/>
      <c r="K499" s="276"/>
      <c r="L499" s="276"/>
    </row>
    <row r="500" spans="1:12" ht="29.1">
      <c r="A500" s="382" t="s">
        <v>16</v>
      </c>
      <c r="B500" s="382"/>
      <c r="C500" s="382"/>
      <c r="D500" s="1" t="s">
        <v>220</v>
      </c>
      <c r="E500" s="1" t="s">
        <v>221</v>
      </c>
      <c r="F500" s="1" t="s">
        <v>222</v>
      </c>
      <c r="G500" s="1" t="s">
        <v>223</v>
      </c>
      <c r="J500" s="276"/>
      <c r="K500" s="276"/>
      <c r="L500" s="276"/>
    </row>
    <row r="501" spans="1:12" ht="36" customHeight="1">
      <c r="A501" s="383" t="str">
        <f>'1.Detailed budget'!P74</f>
        <v>BP</v>
      </c>
      <c r="B501" s="384" t="s">
        <v>537</v>
      </c>
      <c r="C501" s="384"/>
      <c r="D501" s="2"/>
      <c r="E501" s="3"/>
      <c r="F501" s="4"/>
      <c r="G501" s="5">
        <f>SUM(G502:G507)</f>
        <v>1119300</v>
      </c>
      <c r="J501" s="276"/>
      <c r="K501" s="276"/>
      <c r="L501" s="276"/>
    </row>
    <row r="502" spans="1:12">
      <c r="A502" s="383"/>
      <c r="B502" s="25">
        <v>11</v>
      </c>
      <c r="C502" s="26" t="s">
        <v>538</v>
      </c>
      <c r="D502" s="6" t="s">
        <v>341</v>
      </c>
      <c r="E502" s="3">
        <v>84</v>
      </c>
      <c r="F502" s="7">
        <v>475</v>
      </c>
      <c r="G502" s="12">
        <f t="shared" ref="G502:G507" si="43">B502*E502*F502</f>
        <v>438900</v>
      </c>
      <c r="J502" s="276"/>
      <c r="K502" s="276"/>
      <c r="L502" s="276"/>
    </row>
    <row r="503" spans="1:12">
      <c r="A503" s="383"/>
      <c r="B503" s="25">
        <v>11</v>
      </c>
      <c r="C503" s="26" t="s">
        <v>539</v>
      </c>
      <c r="D503" s="6" t="s">
        <v>341</v>
      </c>
      <c r="E503" s="3">
        <v>84</v>
      </c>
      <c r="F503" s="7">
        <v>375</v>
      </c>
      <c r="G503" s="12">
        <f t="shared" si="43"/>
        <v>346500</v>
      </c>
      <c r="J503" s="276"/>
      <c r="K503" s="276"/>
      <c r="L503" s="276"/>
    </row>
    <row r="504" spans="1:12">
      <c r="A504" s="383"/>
      <c r="B504" s="25">
        <v>10</v>
      </c>
      <c r="C504" s="26" t="s">
        <v>540</v>
      </c>
      <c r="D504" s="6" t="s">
        <v>341</v>
      </c>
      <c r="E504" s="3">
        <v>84</v>
      </c>
      <c r="F504" s="7">
        <v>275</v>
      </c>
      <c r="G504" s="12">
        <f t="shared" si="43"/>
        <v>231000</v>
      </c>
      <c r="J504" s="276"/>
      <c r="K504" s="276"/>
      <c r="L504" s="276"/>
    </row>
    <row r="505" spans="1:12">
      <c r="A505" s="383"/>
      <c r="B505" s="25">
        <v>1</v>
      </c>
      <c r="C505" s="26" t="s">
        <v>541</v>
      </c>
      <c r="D505" s="6" t="s">
        <v>341</v>
      </c>
      <c r="E505" s="3">
        <v>84</v>
      </c>
      <c r="F505" s="7">
        <v>475</v>
      </c>
      <c r="G505" s="12">
        <f t="shared" si="43"/>
        <v>39900</v>
      </c>
      <c r="J505" s="276"/>
      <c r="K505" s="276"/>
      <c r="L505" s="276"/>
    </row>
    <row r="506" spans="1:12">
      <c r="A506" s="383"/>
      <c r="B506" s="25">
        <v>1</v>
      </c>
      <c r="C506" s="26" t="s">
        <v>500</v>
      </c>
      <c r="D506" s="6" t="s">
        <v>341</v>
      </c>
      <c r="E506" s="3">
        <v>84</v>
      </c>
      <c r="F506" s="7">
        <v>475</v>
      </c>
      <c r="G506" s="12">
        <f t="shared" si="43"/>
        <v>39900</v>
      </c>
      <c r="J506" s="276"/>
      <c r="K506" s="276"/>
      <c r="L506" s="276"/>
    </row>
    <row r="507" spans="1:12">
      <c r="A507" s="383"/>
      <c r="B507" s="25">
        <v>1</v>
      </c>
      <c r="C507" s="26" t="s">
        <v>542</v>
      </c>
      <c r="D507" s="6" t="s">
        <v>341</v>
      </c>
      <c r="E507" s="3">
        <v>84</v>
      </c>
      <c r="F507" s="7">
        <v>275</v>
      </c>
      <c r="G507" s="12">
        <f t="shared" si="43"/>
        <v>23100</v>
      </c>
      <c r="J507" s="276"/>
      <c r="K507" s="276"/>
      <c r="L507" s="276"/>
    </row>
    <row r="508" spans="1:12" ht="29.1">
      <c r="A508" s="382" t="s">
        <v>16</v>
      </c>
      <c r="B508" s="382"/>
      <c r="C508" s="382"/>
      <c r="D508" s="1" t="s">
        <v>220</v>
      </c>
      <c r="E508" s="1" t="s">
        <v>221</v>
      </c>
      <c r="F508" s="1" t="s">
        <v>222</v>
      </c>
      <c r="G508" s="1" t="s">
        <v>223</v>
      </c>
      <c r="J508" s="276"/>
      <c r="K508" s="276"/>
      <c r="L508" s="276"/>
    </row>
    <row r="509" spans="1:12" ht="33.75" customHeight="1">
      <c r="A509" s="383" t="str">
        <f>'1.Detailed budget'!P75</f>
        <v>BQ</v>
      </c>
      <c r="B509" s="384" t="s">
        <v>543</v>
      </c>
      <c r="C509" s="384"/>
      <c r="D509" s="2"/>
      <c r="E509" s="3"/>
      <c r="F509" s="4"/>
      <c r="G509" s="5">
        <f>SUM(G510:G514)</f>
        <v>3493100.24</v>
      </c>
      <c r="J509" s="276"/>
      <c r="K509" s="276"/>
      <c r="L509" s="276"/>
    </row>
    <row r="510" spans="1:12">
      <c r="A510" s="383"/>
      <c r="B510" s="25">
        <v>11</v>
      </c>
      <c r="C510" s="26" t="s">
        <v>544</v>
      </c>
      <c r="D510" s="6" t="s">
        <v>341</v>
      </c>
      <c r="E510" s="3">
        <v>84</v>
      </c>
      <c r="F510" s="7">
        <v>275</v>
      </c>
      <c r="G510" s="12">
        <f>B510*E510*F510</f>
        <v>254100</v>
      </c>
      <c r="J510" s="276"/>
      <c r="K510" s="276"/>
      <c r="L510" s="276"/>
    </row>
    <row r="511" spans="1:12">
      <c r="A511" s="383"/>
      <c r="B511" s="25">
        <v>11</v>
      </c>
      <c r="C511" s="26" t="s">
        <v>507</v>
      </c>
      <c r="D511" s="6" t="s">
        <v>341</v>
      </c>
      <c r="E511" s="3">
        <v>84</v>
      </c>
      <c r="F511" s="7">
        <v>477.27272727272725</v>
      </c>
      <c r="G511" s="12">
        <f>B511*E511*F511</f>
        <v>441000</v>
      </c>
      <c r="J511" s="276"/>
      <c r="K511" s="276"/>
      <c r="L511" s="276"/>
    </row>
    <row r="512" spans="1:12">
      <c r="A512" s="383"/>
      <c r="B512" s="25">
        <v>11</v>
      </c>
      <c r="C512" s="26" t="s">
        <v>508</v>
      </c>
      <c r="D512" s="6" t="s">
        <v>341</v>
      </c>
      <c r="E512" s="3">
        <v>84</v>
      </c>
      <c r="F512" s="7">
        <v>572</v>
      </c>
      <c r="G512" s="12">
        <f>B512*E512*F512</f>
        <v>528528</v>
      </c>
      <c r="J512" s="276"/>
      <c r="K512" s="276"/>
      <c r="L512" s="276"/>
    </row>
    <row r="513" spans="1:12">
      <c r="A513" s="383"/>
      <c r="B513" s="25">
        <v>11</v>
      </c>
      <c r="C513" s="26" t="s">
        <v>545</v>
      </c>
      <c r="D513" s="6" t="s">
        <v>341</v>
      </c>
      <c r="E513" s="3">
        <v>84</v>
      </c>
      <c r="F513" s="7">
        <v>1100</v>
      </c>
      <c r="G513" s="12">
        <f>B513*E513*F513</f>
        <v>1016400</v>
      </c>
      <c r="J513" s="276"/>
      <c r="K513" s="276"/>
      <c r="L513" s="276"/>
    </row>
    <row r="514" spans="1:12">
      <c r="A514" s="383"/>
      <c r="B514" s="25">
        <v>11</v>
      </c>
      <c r="C514" s="26" t="s">
        <v>546</v>
      </c>
      <c r="D514" s="6" t="s">
        <v>341</v>
      </c>
      <c r="E514" s="3">
        <v>84</v>
      </c>
      <c r="F514" s="7">
        <v>1356.138787878788</v>
      </c>
      <c r="G514" s="12">
        <f>B514*E514*F514</f>
        <v>1253072.24</v>
      </c>
      <c r="J514" s="276"/>
      <c r="K514" s="276"/>
      <c r="L514" s="276"/>
    </row>
    <row r="515" spans="1:12" ht="29.1">
      <c r="A515" s="382" t="s">
        <v>16</v>
      </c>
      <c r="B515" s="382"/>
      <c r="C515" s="382"/>
      <c r="D515" s="1" t="s">
        <v>220</v>
      </c>
      <c r="E515" s="1" t="s">
        <v>221</v>
      </c>
      <c r="F515" s="1" t="s">
        <v>222</v>
      </c>
      <c r="G515" s="1" t="s">
        <v>223</v>
      </c>
      <c r="J515" s="276"/>
      <c r="K515" s="276"/>
      <c r="L515" s="276"/>
    </row>
    <row r="516" spans="1:12">
      <c r="A516" s="383" t="str">
        <f>'1.Detailed budget'!P77</f>
        <v>BR</v>
      </c>
      <c r="B516" s="384" t="s">
        <v>461</v>
      </c>
      <c r="C516" s="384"/>
      <c r="D516" s="2"/>
      <c r="E516" s="3"/>
      <c r="F516" s="4"/>
      <c r="G516" s="5">
        <f>SUM(G517:G519)</f>
        <v>12000</v>
      </c>
      <c r="J516" s="276"/>
      <c r="K516" s="276"/>
      <c r="L516" s="276"/>
    </row>
    <row r="517" spans="1:12">
      <c r="A517" s="383"/>
      <c r="B517" s="381" t="s">
        <v>462</v>
      </c>
      <c r="C517" s="381"/>
      <c r="D517" s="6" t="s">
        <v>466</v>
      </c>
      <c r="E517" s="3">
        <v>20</v>
      </c>
      <c r="F517" s="7">
        <v>200</v>
      </c>
      <c r="G517" s="7">
        <f>E517*F517</f>
        <v>4000</v>
      </c>
      <c r="J517" s="276"/>
      <c r="K517" s="276"/>
      <c r="L517" s="276"/>
    </row>
    <row r="518" spans="1:12">
      <c r="A518" s="383"/>
      <c r="B518" s="381" t="s">
        <v>463</v>
      </c>
      <c r="C518" s="381"/>
      <c r="D518" s="6" t="s">
        <v>466</v>
      </c>
      <c r="E518" s="3">
        <v>20</v>
      </c>
      <c r="F518" s="7">
        <v>200</v>
      </c>
      <c r="G518" s="7">
        <f t="shared" ref="G518:G519" si="44">E518*F518</f>
        <v>4000</v>
      </c>
      <c r="J518" s="276"/>
      <c r="K518" s="276"/>
      <c r="L518" s="276"/>
    </row>
    <row r="519" spans="1:12">
      <c r="A519" s="383"/>
      <c r="B519" s="381" t="s">
        <v>464</v>
      </c>
      <c r="C519" s="381"/>
      <c r="D519" s="6" t="s">
        <v>466</v>
      </c>
      <c r="E519" s="3">
        <v>20</v>
      </c>
      <c r="F519" s="7">
        <v>200</v>
      </c>
      <c r="G519" s="7">
        <f t="shared" si="44"/>
        <v>4000</v>
      </c>
      <c r="J519" s="276"/>
      <c r="K519" s="276"/>
      <c r="L519" s="276"/>
    </row>
    <row r="520" spans="1:12" ht="29.1">
      <c r="A520" s="382" t="s">
        <v>16</v>
      </c>
      <c r="B520" s="382"/>
      <c r="C520" s="382"/>
      <c r="D520" s="1" t="s">
        <v>220</v>
      </c>
      <c r="E520" s="1" t="s">
        <v>221</v>
      </c>
      <c r="F520" s="1" t="s">
        <v>222</v>
      </c>
      <c r="G520" s="1" t="s">
        <v>223</v>
      </c>
      <c r="J520" s="276"/>
      <c r="K520" s="276"/>
      <c r="L520" s="276"/>
    </row>
    <row r="521" spans="1:12">
      <c r="A521" s="410" t="str">
        <f>'1.Detailed budget'!P78</f>
        <v>BS</v>
      </c>
      <c r="B521" s="386" t="s">
        <v>547</v>
      </c>
      <c r="C521" s="384"/>
      <c r="D521" s="2"/>
      <c r="E521" s="3"/>
      <c r="F521" s="4"/>
      <c r="G521" s="5">
        <f>G522+G526+G530</f>
        <v>150000</v>
      </c>
      <c r="J521" s="276"/>
      <c r="K521" s="276"/>
      <c r="L521" s="276"/>
    </row>
    <row r="522" spans="1:12">
      <c r="A522" s="411"/>
      <c r="B522" s="405" t="s">
        <v>548</v>
      </c>
      <c r="C522" s="405"/>
      <c r="D522" s="146"/>
      <c r="E522" s="147"/>
      <c r="F522" s="148"/>
      <c r="G522" s="148">
        <f>SUM(G523:G525)</f>
        <v>50295</v>
      </c>
      <c r="J522" s="276"/>
      <c r="K522" s="276"/>
      <c r="L522" s="276"/>
    </row>
    <row r="523" spans="1:12">
      <c r="A523" s="411"/>
      <c r="B523" s="406" t="s">
        <v>549</v>
      </c>
      <c r="C523" s="400"/>
      <c r="D523" s="6" t="s">
        <v>550</v>
      </c>
      <c r="E523" s="3">
        <v>14</v>
      </c>
      <c r="F523" s="7">
        <v>600</v>
      </c>
      <c r="G523" s="7">
        <f>E523*F523</f>
        <v>8400</v>
      </c>
      <c r="J523" s="276"/>
      <c r="K523" s="276"/>
      <c r="L523" s="276"/>
    </row>
    <row r="524" spans="1:12">
      <c r="A524" s="411"/>
      <c r="B524" s="407" t="s">
        <v>551</v>
      </c>
      <c r="C524" s="390"/>
      <c r="D524" s="6" t="s">
        <v>328</v>
      </c>
      <c r="E524" s="3">
        <v>6</v>
      </c>
      <c r="F524" s="9">
        <f>G524/E524</f>
        <v>557.66666666666663</v>
      </c>
      <c r="G524" s="7">
        <v>3346</v>
      </c>
      <c r="J524" s="276"/>
      <c r="K524" s="276"/>
      <c r="L524" s="276"/>
    </row>
    <row r="525" spans="1:12">
      <c r="A525" s="411"/>
      <c r="B525" s="406" t="s">
        <v>552</v>
      </c>
      <c r="C525" s="400"/>
      <c r="D525" s="6" t="s">
        <v>226</v>
      </c>
      <c r="E525" s="3">
        <v>1</v>
      </c>
      <c r="F525" s="7">
        <f>G525/E525</f>
        <v>38549</v>
      </c>
      <c r="G525" s="7">
        <f>21883+16666</f>
        <v>38549</v>
      </c>
      <c r="J525" s="276"/>
      <c r="K525" s="276"/>
      <c r="L525" s="276"/>
    </row>
    <row r="526" spans="1:12">
      <c r="A526" s="411"/>
      <c r="B526" s="408" t="s">
        <v>553</v>
      </c>
      <c r="C526" s="409"/>
      <c r="D526" s="6"/>
      <c r="E526" s="3"/>
      <c r="F526" s="7"/>
      <c r="G526" s="148">
        <f>SUM(G527:G529)</f>
        <v>50312</v>
      </c>
      <c r="J526" s="276"/>
      <c r="K526" s="276"/>
      <c r="L526" s="276"/>
    </row>
    <row r="527" spans="1:12">
      <c r="A527" s="411"/>
      <c r="B527" s="406" t="s">
        <v>549</v>
      </c>
      <c r="C527" s="400"/>
      <c r="D527" s="6" t="s">
        <v>550</v>
      </c>
      <c r="E527" s="3">
        <v>14</v>
      </c>
      <c r="F527" s="7">
        <v>600</v>
      </c>
      <c r="G527" s="7">
        <f>E527*F527</f>
        <v>8400</v>
      </c>
      <c r="J527" s="276"/>
      <c r="K527" s="276"/>
      <c r="L527" s="276"/>
    </row>
    <row r="528" spans="1:12">
      <c r="A528" s="411"/>
      <c r="B528" s="406" t="s">
        <v>551</v>
      </c>
      <c r="C528" s="400"/>
      <c r="D528" s="6" t="s">
        <v>328</v>
      </c>
      <c r="E528" s="3">
        <v>6</v>
      </c>
      <c r="F528" s="9">
        <f>G528/E528</f>
        <v>560.33333333333337</v>
      </c>
      <c r="G528" s="7">
        <v>3362</v>
      </c>
      <c r="J528" s="276"/>
      <c r="K528" s="276"/>
      <c r="L528" s="276"/>
    </row>
    <row r="529" spans="1:12">
      <c r="A529" s="411"/>
      <c r="B529" s="406" t="s">
        <v>552</v>
      </c>
      <c r="C529" s="400"/>
      <c r="D529" s="6" t="s">
        <v>226</v>
      </c>
      <c r="E529" s="3">
        <v>1</v>
      </c>
      <c r="F529" s="7">
        <f>G529/E529</f>
        <v>38550</v>
      </c>
      <c r="G529" s="7">
        <f>21883+16667</f>
        <v>38550</v>
      </c>
      <c r="J529" s="276"/>
      <c r="K529" s="276"/>
      <c r="L529" s="276"/>
    </row>
    <row r="530" spans="1:12">
      <c r="A530" s="411"/>
      <c r="B530" s="408" t="s">
        <v>554</v>
      </c>
      <c r="C530" s="409"/>
      <c r="D530" s="6"/>
      <c r="E530" s="3"/>
      <c r="F530" s="7"/>
      <c r="G530" s="148">
        <f>SUM(G531:G533)</f>
        <v>49393</v>
      </c>
      <c r="J530" s="276"/>
      <c r="K530" s="276"/>
      <c r="L530" s="276"/>
    </row>
    <row r="531" spans="1:12">
      <c r="A531" s="411"/>
      <c r="B531" s="406" t="s">
        <v>549</v>
      </c>
      <c r="C531" s="400"/>
      <c r="D531" s="6" t="s">
        <v>550</v>
      </c>
      <c r="E531" s="3">
        <v>18</v>
      </c>
      <c r="F531" s="7">
        <v>600</v>
      </c>
      <c r="G531" s="7">
        <f>E531*F531</f>
        <v>10800</v>
      </c>
      <c r="J531" s="276"/>
      <c r="K531" s="276"/>
      <c r="L531" s="276"/>
    </row>
    <row r="532" spans="1:12">
      <c r="A532" s="411"/>
      <c r="B532" s="406" t="s">
        <v>551</v>
      </c>
      <c r="C532" s="400"/>
      <c r="D532" s="6" t="s">
        <v>328</v>
      </c>
      <c r="E532" s="3">
        <v>12</v>
      </c>
      <c r="F532" s="9">
        <f>G532/E532</f>
        <v>243.83333333333334</v>
      </c>
      <c r="G532" s="7">
        <v>2926</v>
      </c>
      <c r="J532" s="276"/>
      <c r="K532" s="276"/>
      <c r="L532" s="276"/>
    </row>
    <row r="533" spans="1:12">
      <c r="A533" s="412"/>
      <c r="B533" s="406" t="s">
        <v>552</v>
      </c>
      <c r="C533" s="400"/>
      <c r="D533" s="6" t="s">
        <v>226</v>
      </c>
      <c r="E533" s="3">
        <v>1</v>
      </c>
      <c r="F533" s="7">
        <f>G533/E533</f>
        <v>35667</v>
      </c>
      <c r="G533" s="7">
        <f>19000+16667</f>
        <v>35667</v>
      </c>
      <c r="J533" s="276"/>
      <c r="K533" s="276"/>
      <c r="L533" s="276"/>
    </row>
    <row r="534" spans="1:12" ht="29.1">
      <c r="A534" s="382" t="s">
        <v>16</v>
      </c>
      <c r="B534" s="382"/>
      <c r="C534" s="382"/>
      <c r="D534" s="1" t="s">
        <v>220</v>
      </c>
      <c r="E534" s="1" t="s">
        <v>221</v>
      </c>
      <c r="F534" s="1" t="s">
        <v>222</v>
      </c>
      <c r="G534" s="1" t="s">
        <v>223</v>
      </c>
      <c r="J534" s="276"/>
      <c r="K534" s="276"/>
      <c r="L534" s="276"/>
    </row>
    <row r="535" spans="1:12">
      <c r="A535" s="410" t="str">
        <f>'1.Detailed budget'!P79</f>
        <v>BT</v>
      </c>
      <c r="B535" s="386" t="s">
        <v>555</v>
      </c>
      <c r="C535" s="384"/>
      <c r="D535" s="2"/>
      <c r="E535" s="3"/>
      <c r="F535" s="4"/>
      <c r="G535" s="152">
        <f>G536+G540</f>
        <v>150000</v>
      </c>
      <c r="J535" s="276"/>
      <c r="K535" s="276"/>
      <c r="L535" s="276"/>
    </row>
    <row r="536" spans="1:12">
      <c r="A536" s="411"/>
      <c r="B536" s="405" t="s">
        <v>556</v>
      </c>
      <c r="C536" s="405"/>
      <c r="D536" s="6"/>
      <c r="E536" s="3"/>
      <c r="F536" s="7"/>
      <c r="G536" s="148">
        <f>SUM(G537:G539)</f>
        <v>75065</v>
      </c>
      <c r="J536" s="276"/>
      <c r="K536" s="276"/>
      <c r="L536" s="276"/>
    </row>
    <row r="537" spans="1:12">
      <c r="A537" s="411"/>
      <c r="B537" s="406" t="s">
        <v>549</v>
      </c>
      <c r="C537" s="400"/>
      <c r="D537" s="6" t="s">
        <v>550</v>
      </c>
      <c r="E537" s="3">
        <v>40</v>
      </c>
      <c r="F537" s="7">
        <v>600</v>
      </c>
      <c r="G537" s="7">
        <f>E537*F537</f>
        <v>24000</v>
      </c>
      <c r="J537" s="276"/>
      <c r="K537" s="276"/>
      <c r="L537" s="276"/>
    </row>
    <row r="538" spans="1:12">
      <c r="A538" s="411"/>
      <c r="B538" s="407" t="s">
        <v>551</v>
      </c>
      <c r="C538" s="390"/>
      <c r="D538" s="6" t="s">
        <v>328</v>
      </c>
      <c r="E538" s="3">
        <v>15</v>
      </c>
      <c r="F538" s="9">
        <f>G538/E538</f>
        <v>337.66666666666669</v>
      </c>
      <c r="G538" s="7">
        <v>5065</v>
      </c>
      <c r="J538" s="276"/>
      <c r="K538" s="276"/>
      <c r="L538" s="276"/>
    </row>
    <row r="539" spans="1:12">
      <c r="A539" s="411"/>
      <c r="B539" s="406" t="s">
        <v>552</v>
      </c>
      <c r="C539" s="400"/>
      <c r="D539" s="6" t="s">
        <v>226</v>
      </c>
      <c r="E539" s="3">
        <v>1</v>
      </c>
      <c r="F539" s="7">
        <f>G539/E539</f>
        <v>46000</v>
      </c>
      <c r="G539" s="7">
        <v>46000</v>
      </c>
      <c r="J539" s="276"/>
      <c r="K539" s="276"/>
      <c r="L539" s="276"/>
    </row>
    <row r="540" spans="1:12">
      <c r="A540" s="411"/>
      <c r="B540" s="405" t="s">
        <v>557</v>
      </c>
      <c r="C540" s="405"/>
      <c r="D540" s="6"/>
      <c r="E540" s="3"/>
      <c r="F540" s="7"/>
      <c r="G540" s="8">
        <f>SUM(G541:G543)</f>
        <v>74935</v>
      </c>
      <c r="J540" s="276"/>
      <c r="K540" s="276"/>
      <c r="L540" s="276"/>
    </row>
    <row r="541" spans="1:12">
      <c r="A541" s="411"/>
      <c r="B541" s="406" t="s">
        <v>549</v>
      </c>
      <c r="C541" s="400"/>
      <c r="D541" s="6" t="s">
        <v>550</v>
      </c>
      <c r="E541" s="3">
        <v>40</v>
      </c>
      <c r="F541" s="7">
        <v>600</v>
      </c>
      <c r="G541" s="7">
        <f>E541*F541</f>
        <v>24000</v>
      </c>
      <c r="J541" s="276"/>
      <c r="K541" s="276"/>
      <c r="L541" s="276"/>
    </row>
    <row r="542" spans="1:12">
      <c r="A542" s="411"/>
      <c r="B542" s="407" t="s">
        <v>551</v>
      </c>
      <c r="C542" s="390"/>
      <c r="D542" s="6" t="s">
        <v>328</v>
      </c>
      <c r="E542" s="3">
        <v>15</v>
      </c>
      <c r="F542" s="9">
        <f>G542/E542</f>
        <v>329</v>
      </c>
      <c r="G542" s="7">
        <v>4935</v>
      </c>
      <c r="J542" s="276"/>
      <c r="K542" s="276"/>
      <c r="L542" s="276"/>
    </row>
    <row r="543" spans="1:12">
      <c r="A543" s="412"/>
      <c r="B543" s="406" t="s">
        <v>552</v>
      </c>
      <c r="C543" s="400"/>
      <c r="D543" s="6" t="s">
        <v>226</v>
      </c>
      <c r="E543" s="3">
        <v>1</v>
      </c>
      <c r="F543" s="7">
        <f>G543/E543</f>
        <v>46000</v>
      </c>
      <c r="G543" s="7">
        <v>46000</v>
      </c>
      <c r="J543" s="276"/>
      <c r="K543" s="276"/>
      <c r="L543" s="276"/>
    </row>
    <row r="544" spans="1:12" ht="29.1">
      <c r="A544" s="382" t="s">
        <v>16</v>
      </c>
      <c r="B544" s="382"/>
      <c r="C544" s="382"/>
      <c r="D544" s="1" t="s">
        <v>220</v>
      </c>
      <c r="E544" s="1" t="s">
        <v>221</v>
      </c>
      <c r="F544" s="1" t="s">
        <v>222</v>
      </c>
      <c r="G544" s="1" t="s">
        <v>223</v>
      </c>
      <c r="J544" s="276"/>
      <c r="K544" s="276"/>
      <c r="L544" s="276"/>
    </row>
    <row r="545" spans="1:12">
      <c r="A545" s="378" t="str">
        <f>'1.Detailed budget'!P80</f>
        <v>BU</v>
      </c>
      <c r="B545" s="384" t="s">
        <v>558</v>
      </c>
      <c r="C545" s="384"/>
      <c r="D545" s="2"/>
      <c r="E545" s="3"/>
      <c r="F545" s="4"/>
      <c r="G545" s="5">
        <f>SUM(G546:G552)</f>
        <v>249999.9996000001</v>
      </c>
      <c r="J545" s="276"/>
      <c r="K545" s="276"/>
      <c r="L545" s="276"/>
    </row>
    <row r="546" spans="1:12">
      <c r="A546" s="379"/>
      <c r="B546" s="381" t="s">
        <v>468</v>
      </c>
      <c r="C546" s="381"/>
      <c r="D546" s="6" t="s">
        <v>328</v>
      </c>
      <c r="E546" s="3">
        <v>1</v>
      </c>
      <c r="F546" s="7">
        <f>'1.Detailed budget'!H80</f>
        <v>36035.714228571407</v>
      </c>
      <c r="G546" s="7">
        <f t="shared" ref="G546:G552" si="45">E546*F546</f>
        <v>36035.714228571407</v>
      </c>
      <c r="J546" s="276"/>
      <c r="K546" s="276"/>
      <c r="L546" s="276"/>
    </row>
    <row r="547" spans="1:12" ht="15" customHeight="1">
      <c r="A547" s="379"/>
      <c r="B547" s="381" t="s">
        <v>462</v>
      </c>
      <c r="C547" s="381"/>
      <c r="D547" s="6" t="s">
        <v>328</v>
      </c>
      <c r="E547" s="3">
        <v>1</v>
      </c>
      <c r="F547" s="7">
        <f>'1.Detailed budget'!I80</f>
        <v>44535.714228571436</v>
      </c>
      <c r="G547" s="7">
        <f t="shared" si="45"/>
        <v>44535.714228571436</v>
      </c>
      <c r="J547" s="276"/>
      <c r="K547" s="276"/>
      <c r="L547" s="276"/>
    </row>
    <row r="548" spans="1:12" ht="15" customHeight="1">
      <c r="A548" s="379"/>
      <c r="B548" s="381" t="s">
        <v>463</v>
      </c>
      <c r="C548" s="381"/>
      <c r="D548" s="6" t="s">
        <v>328</v>
      </c>
      <c r="E548" s="3">
        <v>1</v>
      </c>
      <c r="F548" s="7">
        <f>'1.Detailed budget'!J80</f>
        <v>44285.714228571436</v>
      </c>
      <c r="G548" s="7">
        <f t="shared" si="45"/>
        <v>44285.714228571436</v>
      </c>
      <c r="J548" s="276"/>
      <c r="K548" s="276"/>
      <c r="L548" s="276"/>
    </row>
    <row r="549" spans="1:12" ht="15" customHeight="1">
      <c r="A549" s="379"/>
      <c r="B549" s="381" t="s">
        <v>464</v>
      </c>
      <c r="C549" s="381"/>
      <c r="D549" s="6" t="s">
        <v>328</v>
      </c>
      <c r="E549" s="3">
        <v>1</v>
      </c>
      <c r="F549" s="7">
        <f>'1.Detailed budget'!K80</f>
        <v>41785.714228571465</v>
      </c>
      <c r="G549" s="7">
        <f t="shared" si="45"/>
        <v>41785.714228571465</v>
      </c>
      <c r="J549" s="276"/>
      <c r="K549" s="276"/>
      <c r="L549" s="276"/>
    </row>
    <row r="550" spans="1:12" ht="15" customHeight="1">
      <c r="A550" s="379"/>
      <c r="B550" s="381" t="s">
        <v>465</v>
      </c>
      <c r="C550" s="381"/>
      <c r="D550" s="6" t="s">
        <v>328</v>
      </c>
      <c r="E550" s="3">
        <v>1</v>
      </c>
      <c r="F550" s="7">
        <f>'1.Detailed budget'!L80</f>
        <v>34035.714228571436</v>
      </c>
      <c r="G550" s="7">
        <f t="shared" si="45"/>
        <v>34035.714228571436</v>
      </c>
      <c r="J550" s="276"/>
      <c r="K550" s="276"/>
      <c r="L550" s="276"/>
    </row>
    <row r="551" spans="1:12" ht="15" customHeight="1">
      <c r="A551" s="379"/>
      <c r="B551" s="381" t="s">
        <v>559</v>
      </c>
      <c r="C551" s="381"/>
      <c r="D551" s="6" t="s">
        <v>328</v>
      </c>
      <c r="E551" s="3">
        <v>1</v>
      </c>
      <c r="F551" s="7">
        <f>'1.Detailed budget'!M80</f>
        <v>24035.714228571436</v>
      </c>
      <c r="G551" s="7">
        <f t="shared" si="45"/>
        <v>24035.714228571436</v>
      </c>
      <c r="J551" s="276"/>
      <c r="K551" s="276"/>
      <c r="L551" s="276"/>
    </row>
    <row r="552" spans="1:12" ht="15" customHeight="1">
      <c r="A552" s="380"/>
      <c r="B552" s="381" t="s">
        <v>560</v>
      </c>
      <c r="C552" s="381"/>
      <c r="D552" s="6" t="s">
        <v>328</v>
      </c>
      <c r="E552" s="3">
        <v>1</v>
      </c>
      <c r="F552" s="7">
        <f>'1.Detailed budget'!N80</f>
        <v>25285.714228571451</v>
      </c>
      <c r="G552" s="7">
        <f t="shared" si="45"/>
        <v>25285.714228571451</v>
      </c>
      <c r="J552" s="276"/>
      <c r="K552" s="276"/>
      <c r="L552" s="276"/>
    </row>
    <row r="553" spans="1:12" ht="29.1">
      <c r="A553" s="382" t="s">
        <v>16</v>
      </c>
      <c r="B553" s="382"/>
      <c r="C553" s="382"/>
      <c r="D553" s="1" t="s">
        <v>220</v>
      </c>
      <c r="E553" s="1" t="s">
        <v>221</v>
      </c>
      <c r="F553" s="1" t="s">
        <v>222</v>
      </c>
      <c r="G553" s="1" t="s">
        <v>223</v>
      </c>
      <c r="J553" s="276"/>
      <c r="K553" s="276"/>
      <c r="L553" s="276"/>
    </row>
    <row r="554" spans="1:12" ht="14.45" customHeight="1">
      <c r="A554" s="378" t="str">
        <f>'1.Detailed budget'!P81</f>
        <v>BV</v>
      </c>
      <c r="B554" s="381" t="s">
        <v>561</v>
      </c>
      <c r="C554" s="381"/>
      <c r="D554" s="2"/>
      <c r="E554" s="3"/>
      <c r="F554" s="4"/>
      <c r="G554" s="5">
        <f>SUM(G555:G561)</f>
        <v>249999.9996000001</v>
      </c>
      <c r="J554" s="276"/>
      <c r="K554" s="276"/>
      <c r="L554" s="276"/>
    </row>
    <row r="555" spans="1:12">
      <c r="A555" s="379"/>
      <c r="B555" s="381" t="s">
        <v>468</v>
      </c>
      <c r="C555" s="381"/>
      <c r="D555" s="6" t="s">
        <v>328</v>
      </c>
      <c r="E555" s="3">
        <v>1</v>
      </c>
      <c r="F555" s="7">
        <f>'1.Detailed budget'!H81</f>
        <v>36035.714228571407</v>
      </c>
      <c r="G555" s="7">
        <f t="shared" ref="G555:G561" si="46">E555*F555</f>
        <v>36035.714228571407</v>
      </c>
      <c r="J555" s="276"/>
      <c r="K555" s="276"/>
      <c r="L555" s="276"/>
    </row>
    <row r="556" spans="1:12">
      <c r="A556" s="379"/>
      <c r="B556" s="381" t="s">
        <v>462</v>
      </c>
      <c r="C556" s="381"/>
      <c r="D556" s="6" t="s">
        <v>328</v>
      </c>
      <c r="E556" s="3">
        <v>1</v>
      </c>
      <c r="F556" s="7">
        <f>'1.Detailed budget'!I81</f>
        <v>44535.714228571436</v>
      </c>
      <c r="G556" s="7">
        <f t="shared" si="46"/>
        <v>44535.714228571436</v>
      </c>
      <c r="J556" s="276"/>
      <c r="K556" s="276"/>
      <c r="L556" s="276"/>
    </row>
    <row r="557" spans="1:12">
      <c r="A557" s="379"/>
      <c r="B557" s="381" t="s">
        <v>463</v>
      </c>
      <c r="C557" s="381"/>
      <c r="D557" s="6" t="s">
        <v>328</v>
      </c>
      <c r="E557" s="3">
        <v>1</v>
      </c>
      <c r="F557" s="7">
        <f>'1.Detailed budget'!J81</f>
        <v>44285.714228571436</v>
      </c>
      <c r="G557" s="7">
        <f t="shared" si="46"/>
        <v>44285.714228571436</v>
      </c>
      <c r="J557" s="276"/>
      <c r="K557" s="276"/>
      <c r="L557" s="276"/>
    </row>
    <row r="558" spans="1:12">
      <c r="A558" s="379"/>
      <c r="B558" s="381" t="s">
        <v>464</v>
      </c>
      <c r="C558" s="381"/>
      <c r="D558" s="6" t="s">
        <v>328</v>
      </c>
      <c r="E558" s="3">
        <v>1</v>
      </c>
      <c r="F558" s="7">
        <f>'1.Detailed budget'!K81</f>
        <v>41785.714228571465</v>
      </c>
      <c r="G558" s="7">
        <f t="shared" si="46"/>
        <v>41785.714228571465</v>
      </c>
      <c r="J558" s="276"/>
      <c r="K558" s="276"/>
      <c r="L558" s="276"/>
    </row>
    <row r="559" spans="1:12">
      <c r="A559" s="379"/>
      <c r="B559" s="381" t="s">
        <v>465</v>
      </c>
      <c r="C559" s="381"/>
      <c r="D559" s="6" t="s">
        <v>328</v>
      </c>
      <c r="E559" s="3">
        <v>1</v>
      </c>
      <c r="F559" s="7">
        <f>'1.Detailed budget'!L81</f>
        <v>34035.714228571436</v>
      </c>
      <c r="G559" s="7">
        <f t="shared" si="46"/>
        <v>34035.714228571436</v>
      </c>
      <c r="J559" s="276"/>
      <c r="K559" s="276"/>
      <c r="L559" s="276"/>
    </row>
    <row r="560" spans="1:12">
      <c r="A560" s="379"/>
      <c r="B560" s="381" t="s">
        <v>559</v>
      </c>
      <c r="C560" s="381"/>
      <c r="D560" s="6" t="s">
        <v>328</v>
      </c>
      <c r="E560" s="3">
        <v>1</v>
      </c>
      <c r="F560" s="7">
        <f>'1.Detailed budget'!M81</f>
        <v>24035.714228571436</v>
      </c>
      <c r="G560" s="7">
        <f t="shared" si="46"/>
        <v>24035.714228571436</v>
      </c>
      <c r="J560" s="276"/>
      <c r="K560" s="276"/>
      <c r="L560" s="276"/>
    </row>
    <row r="561" spans="1:12">
      <c r="A561" s="380"/>
      <c r="B561" s="381" t="s">
        <v>560</v>
      </c>
      <c r="C561" s="381"/>
      <c r="D561" s="6" t="s">
        <v>328</v>
      </c>
      <c r="E561" s="3">
        <v>1</v>
      </c>
      <c r="F561" s="7">
        <f>'1.Detailed budget'!N81</f>
        <v>25285.714228571451</v>
      </c>
      <c r="G561" s="7">
        <f t="shared" si="46"/>
        <v>25285.714228571451</v>
      </c>
      <c r="J561" s="276"/>
      <c r="K561" s="276"/>
      <c r="L561" s="276"/>
    </row>
    <row r="562" spans="1:12">
      <c r="A562" s="413" t="s">
        <v>562</v>
      </c>
      <c r="B562" s="413"/>
      <c r="C562" s="413"/>
      <c r="D562" s="413"/>
      <c r="E562" s="413"/>
      <c r="F562" s="413"/>
      <c r="G562" s="274">
        <f>G120+G3+G125+G128+G132+G73+G139+G152+G147+G76+G79+G83+G117+G99+G34+G159+G162+G257+G165+G262+G265+G269+G276+G281+G288+G240+G244+G248+G251+G254+G201+G291+G294+G302+G306+G310+G314+G318+G321+G324+G327+G336+G344+G352+G358+G374+G380+G384+G389+G395+G401+G406+G411+G415+G418+G427+G434+G443+G516+G521+G535+G447+G456+G459+G467+G477+G472+G482+G493+G498+G501+G509+G545+G554</f>
        <v>119914183.84239133</v>
      </c>
      <c r="J562" s="276"/>
      <c r="K562" s="276"/>
      <c r="L562" s="276"/>
    </row>
    <row r="563" spans="1:12">
      <c r="A563" s="28"/>
      <c r="B563" s="29"/>
      <c r="C563" s="29"/>
      <c r="D563" s="30"/>
      <c r="E563" s="31"/>
      <c r="F563" s="32"/>
      <c r="G563" s="32"/>
    </row>
    <row r="564" spans="1:12">
      <c r="A564" s="28"/>
      <c r="B564" s="29"/>
      <c r="C564" s="29"/>
      <c r="D564" s="30"/>
      <c r="E564" s="31"/>
      <c r="F564" s="32"/>
      <c r="G564" s="32"/>
    </row>
    <row r="565" spans="1:12">
      <c r="A565" s="28"/>
      <c r="B565" s="29"/>
      <c r="C565" s="29"/>
      <c r="D565" s="30"/>
      <c r="E565" s="31"/>
      <c r="F565" s="32"/>
      <c r="G565" s="32"/>
    </row>
    <row r="566" spans="1:12">
      <c r="A566" s="28"/>
      <c r="B566" s="29"/>
      <c r="C566" s="29"/>
      <c r="D566" s="30"/>
      <c r="E566" s="31"/>
      <c r="F566" s="32"/>
      <c r="G566" s="32"/>
    </row>
    <row r="567" spans="1:12">
      <c r="A567" s="28"/>
      <c r="B567" s="29"/>
      <c r="C567" s="29"/>
      <c r="D567" s="30"/>
      <c r="E567" s="31"/>
      <c r="F567" s="32"/>
      <c r="G567" s="32"/>
    </row>
    <row r="568" spans="1:12">
      <c r="A568" s="28"/>
      <c r="B568" s="29"/>
      <c r="C568" s="29"/>
      <c r="D568" s="30"/>
      <c r="E568" s="31"/>
      <c r="F568" s="32"/>
      <c r="G568" s="32"/>
    </row>
    <row r="569" spans="1:12">
      <c r="A569" s="28"/>
      <c r="B569" s="29"/>
      <c r="C569" s="29"/>
      <c r="D569" s="30"/>
      <c r="E569" s="31"/>
      <c r="F569" s="32"/>
      <c r="G569" s="32"/>
    </row>
    <row r="570" spans="1:12">
      <c r="A570" s="28"/>
      <c r="B570" s="29"/>
      <c r="C570" s="29"/>
      <c r="D570" s="30"/>
      <c r="E570" s="31"/>
      <c r="F570" s="32"/>
      <c r="G570" s="32"/>
    </row>
    <row r="571" spans="1:12">
      <c r="A571" s="28"/>
      <c r="B571" s="29"/>
      <c r="C571" s="29"/>
      <c r="D571" s="30"/>
      <c r="E571" s="31"/>
      <c r="F571" s="32"/>
      <c r="G571" s="32"/>
    </row>
    <row r="572" spans="1:12">
      <c r="A572" s="28"/>
      <c r="B572" s="29"/>
      <c r="C572" s="29"/>
      <c r="D572" s="30"/>
      <c r="E572" s="31"/>
      <c r="F572" s="32"/>
      <c r="G572" s="32"/>
    </row>
    <row r="573" spans="1:12">
      <c r="A573" s="28"/>
      <c r="B573" s="29"/>
      <c r="C573" s="29"/>
      <c r="D573" s="30"/>
      <c r="E573" s="31"/>
      <c r="F573" s="32"/>
      <c r="G573" s="32"/>
    </row>
    <row r="574" spans="1:12">
      <c r="A574" s="28"/>
      <c r="B574" s="29"/>
      <c r="C574" s="29"/>
      <c r="D574" s="30"/>
      <c r="E574" s="31"/>
      <c r="F574" s="32"/>
      <c r="G574" s="32"/>
    </row>
    <row r="575" spans="1:12">
      <c r="A575" s="28"/>
      <c r="B575" s="29"/>
      <c r="C575" s="29"/>
      <c r="D575" s="30"/>
      <c r="E575" s="31"/>
      <c r="F575" s="32"/>
      <c r="G575" s="32"/>
    </row>
    <row r="576" spans="1:12">
      <c r="A576" s="28"/>
      <c r="B576" s="29"/>
      <c r="C576" s="29"/>
      <c r="D576" s="30"/>
      <c r="E576" s="31"/>
      <c r="F576" s="32"/>
      <c r="G576" s="32"/>
    </row>
  </sheetData>
  <mergeCells count="587">
    <mergeCell ref="A508:C508"/>
    <mergeCell ref="A509:A514"/>
    <mergeCell ref="B509:C509"/>
    <mergeCell ref="A562:F562"/>
    <mergeCell ref="A497:C497"/>
    <mergeCell ref="A498:A499"/>
    <mergeCell ref="B498:C498"/>
    <mergeCell ref="B499:C499"/>
    <mergeCell ref="A500:C500"/>
    <mergeCell ref="A501:A507"/>
    <mergeCell ref="B501:C501"/>
    <mergeCell ref="A544:C544"/>
    <mergeCell ref="B545:C545"/>
    <mergeCell ref="B546:C546"/>
    <mergeCell ref="B547:C547"/>
    <mergeCell ref="B548:C548"/>
    <mergeCell ref="B549:C549"/>
    <mergeCell ref="B550:C550"/>
    <mergeCell ref="B551:C551"/>
    <mergeCell ref="B552:C552"/>
    <mergeCell ref="A545:A552"/>
    <mergeCell ref="A553:C553"/>
    <mergeCell ref="A520:C520"/>
    <mergeCell ref="B521:C521"/>
    <mergeCell ref="B490:C490"/>
    <mergeCell ref="B491:C491"/>
    <mergeCell ref="A492:C492"/>
    <mergeCell ref="A493:A496"/>
    <mergeCell ref="B493:C493"/>
    <mergeCell ref="B494:C494"/>
    <mergeCell ref="B495:C495"/>
    <mergeCell ref="B496:C496"/>
    <mergeCell ref="A481:C481"/>
    <mergeCell ref="A482:A491"/>
    <mergeCell ref="B482:C482"/>
    <mergeCell ref="B483:C483"/>
    <mergeCell ref="B484:C484"/>
    <mergeCell ref="B485:C485"/>
    <mergeCell ref="B486:C486"/>
    <mergeCell ref="B487:C487"/>
    <mergeCell ref="B488:C488"/>
    <mergeCell ref="B489:C489"/>
    <mergeCell ref="B479:C479"/>
    <mergeCell ref="B480:C480"/>
    <mergeCell ref="A458:C458"/>
    <mergeCell ref="B459:C459"/>
    <mergeCell ref="A466:C466"/>
    <mergeCell ref="A467:A470"/>
    <mergeCell ref="B467:C467"/>
    <mergeCell ref="B468:C468"/>
    <mergeCell ref="B469:C469"/>
    <mergeCell ref="B470:C470"/>
    <mergeCell ref="A471:C471"/>
    <mergeCell ref="A472:A475"/>
    <mergeCell ref="B472:C472"/>
    <mergeCell ref="B473:C473"/>
    <mergeCell ref="B474:C474"/>
    <mergeCell ref="B475:C475"/>
    <mergeCell ref="A459:A465"/>
    <mergeCell ref="B522:C522"/>
    <mergeCell ref="A534:C534"/>
    <mergeCell ref="B535:C535"/>
    <mergeCell ref="B536:C536"/>
    <mergeCell ref="B523:C523"/>
    <mergeCell ref="B524:C524"/>
    <mergeCell ref="B525:C525"/>
    <mergeCell ref="B526:C526"/>
    <mergeCell ref="B527:C527"/>
    <mergeCell ref="B528:C528"/>
    <mergeCell ref="B529:C529"/>
    <mergeCell ref="B530:C530"/>
    <mergeCell ref="B531:C531"/>
    <mergeCell ref="B532:C532"/>
    <mergeCell ref="B533:C533"/>
    <mergeCell ref="A521:A533"/>
    <mergeCell ref="A535:A543"/>
    <mergeCell ref="B542:C542"/>
    <mergeCell ref="B543:C543"/>
    <mergeCell ref="B537:C537"/>
    <mergeCell ref="B538:C538"/>
    <mergeCell ref="B539:C539"/>
    <mergeCell ref="B540:C540"/>
    <mergeCell ref="B541:C541"/>
    <mergeCell ref="A516:A519"/>
    <mergeCell ref="B516:C516"/>
    <mergeCell ref="B517:C517"/>
    <mergeCell ref="B518:C518"/>
    <mergeCell ref="B519:C519"/>
    <mergeCell ref="B441:C441"/>
    <mergeCell ref="A442:C442"/>
    <mergeCell ref="A443:A445"/>
    <mergeCell ref="B443:C443"/>
    <mergeCell ref="B444:C444"/>
    <mergeCell ref="B445:C445"/>
    <mergeCell ref="A434:A441"/>
    <mergeCell ref="B434:C434"/>
    <mergeCell ref="B435:C435"/>
    <mergeCell ref="B436:C436"/>
    <mergeCell ref="B437:C437"/>
    <mergeCell ref="B438:C438"/>
    <mergeCell ref="B439:C439"/>
    <mergeCell ref="B440:C440"/>
    <mergeCell ref="A515:C515"/>
    <mergeCell ref="A476:C476"/>
    <mergeCell ref="A477:A480"/>
    <mergeCell ref="B477:C477"/>
    <mergeCell ref="B478:C478"/>
    <mergeCell ref="A426:C426"/>
    <mergeCell ref="A427:A432"/>
    <mergeCell ref="B427:C427"/>
    <mergeCell ref="B428:C428"/>
    <mergeCell ref="B429:C429"/>
    <mergeCell ref="B430:C430"/>
    <mergeCell ref="B431:C431"/>
    <mergeCell ref="B432:C432"/>
    <mergeCell ref="A433:C433"/>
    <mergeCell ref="A415:A416"/>
    <mergeCell ref="B415:C415"/>
    <mergeCell ref="B416:C416"/>
    <mergeCell ref="A417:C417"/>
    <mergeCell ref="A418:A425"/>
    <mergeCell ref="B418:C418"/>
    <mergeCell ref="B419:C419"/>
    <mergeCell ref="B420:C420"/>
    <mergeCell ref="B421:C421"/>
    <mergeCell ref="B422:C422"/>
    <mergeCell ref="B423:C423"/>
    <mergeCell ref="B424:C424"/>
    <mergeCell ref="B425:C425"/>
    <mergeCell ref="A410:C410"/>
    <mergeCell ref="A411:A413"/>
    <mergeCell ref="B411:C411"/>
    <mergeCell ref="B412:C412"/>
    <mergeCell ref="B413:C413"/>
    <mergeCell ref="A414:C414"/>
    <mergeCell ref="A400:C400"/>
    <mergeCell ref="A401:A404"/>
    <mergeCell ref="B401:C401"/>
    <mergeCell ref="A405:C405"/>
    <mergeCell ref="A406:A409"/>
    <mergeCell ref="B406:C406"/>
    <mergeCell ref="B407:C407"/>
    <mergeCell ref="B408:C408"/>
    <mergeCell ref="B409:C409"/>
    <mergeCell ref="A388:C388"/>
    <mergeCell ref="A379:C379"/>
    <mergeCell ref="A380:A382"/>
    <mergeCell ref="B380:C380"/>
    <mergeCell ref="B381:C381"/>
    <mergeCell ref="B382:C382"/>
    <mergeCell ref="A383:C383"/>
    <mergeCell ref="A394:C394"/>
    <mergeCell ref="A395:A399"/>
    <mergeCell ref="B395:C395"/>
    <mergeCell ref="B396:C396"/>
    <mergeCell ref="B397:C397"/>
    <mergeCell ref="B398:C398"/>
    <mergeCell ref="B399:C399"/>
    <mergeCell ref="A389:A393"/>
    <mergeCell ref="B389:C389"/>
    <mergeCell ref="B390:C390"/>
    <mergeCell ref="B391:C391"/>
    <mergeCell ref="B392:C392"/>
    <mergeCell ref="B393:C393"/>
    <mergeCell ref="A373:C373"/>
    <mergeCell ref="A374:A378"/>
    <mergeCell ref="B374:C374"/>
    <mergeCell ref="B375:C375"/>
    <mergeCell ref="B376:C376"/>
    <mergeCell ref="B377:C377"/>
    <mergeCell ref="B378:C378"/>
    <mergeCell ref="A384:A387"/>
    <mergeCell ref="B384:C384"/>
    <mergeCell ref="B385:C385"/>
    <mergeCell ref="B386:C386"/>
    <mergeCell ref="B387:C387"/>
    <mergeCell ref="B368:C368"/>
    <mergeCell ref="B369:C369"/>
    <mergeCell ref="B370:C370"/>
    <mergeCell ref="B356:C356"/>
    <mergeCell ref="A357:C357"/>
    <mergeCell ref="A358:A372"/>
    <mergeCell ref="B358:C358"/>
    <mergeCell ref="B359:C359"/>
    <mergeCell ref="B360:C360"/>
    <mergeCell ref="B361:C361"/>
    <mergeCell ref="B362:C362"/>
    <mergeCell ref="B363:C363"/>
    <mergeCell ref="B364:C364"/>
    <mergeCell ref="B371:C371"/>
    <mergeCell ref="B372:C372"/>
    <mergeCell ref="A351:C351"/>
    <mergeCell ref="A352:A356"/>
    <mergeCell ref="B352:C352"/>
    <mergeCell ref="B353:C353"/>
    <mergeCell ref="B354:C354"/>
    <mergeCell ref="B355:C355"/>
    <mergeCell ref="B365:C365"/>
    <mergeCell ref="B366:C366"/>
    <mergeCell ref="B367:C367"/>
    <mergeCell ref="A343:C343"/>
    <mergeCell ref="A344:A350"/>
    <mergeCell ref="B344:C344"/>
    <mergeCell ref="B345:C345"/>
    <mergeCell ref="B346:C346"/>
    <mergeCell ref="B347:C347"/>
    <mergeCell ref="B348:C348"/>
    <mergeCell ref="B349:C349"/>
    <mergeCell ref="B350:C350"/>
    <mergeCell ref="A335:C335"/>
    <mergeCell ref="A336:A342"/>
    <mergeCell ref="B336:C336"/>
    <mergeCell ref="B337:C337"/>
    <mergeCell ref="B338:C338"/>
    <mergeCell ref="B339:C339"/>
    <mergeCell ref="B340:C340"/>
    <mergeCell ref="B341:C341"/>
    <mergeCell ref="B342:C342"/>
    <mergeCell ref="A326:C326"/>
    <mergeCell ref="A327:A334"/>
    <mergeCell ref="B327:C327"/>
    <mergeCell ref="B328:C328"/>
    <mergeCell ref="B329:C329"/>
    <mergeCell ref="B330:C330"/>
    <mergeCell ref="B331:C331"/>
    <mergeCell ref="B332:C332"/>
    <mergeCell ref="B333:C333"/>
    <mergeCell ref="B334:C334"/>
    <mergeCell ref="A317:C317"/>
    <mergeCell ref="A318:A319"/>
    <mergeCell ref="B318:C318"/>
    <mergeCell ref="B319:C319"/>
    <mergeCell ref="A320:C320"/>
    <mergeCell ref="A321:A322"/>
    <mergeCell ref="B321:C321"/>
    <mergeCell ref="B322:C322"/>
    <mergeCell ref="A310:A312"/>
    <mergeCell ref="B310:C310"/>
    <mergeCell ref="B311:C311"/>
    <mergeCell ref="B312:C312"/>
    <mergeCell ref="A313:C313"/>
    <mergeCell ref="A314:A316"/>
    <mergeCell ref="B314:C314"/>
    <mergeCell ref="B315:C315"/>
    <mergeCell ref="B316:C316"/>
    <mergeCell ref="A305:C305"/>
    <mergeCell ref="A306:A308"/>
    <mergeCell ref="B306:C306"/>
    <mergeCell ref="B307:C307"/>
    <mergeCell ref="B308:C308"/>
    <mergeCell ref="A309:C309"/>
    <mergeCell ref="B298:C298"/>
    <mergeCell ref="B299:C299"/>
    <mergeCell ref="B300:C300"/>
    <mergeCell ref="A301:C301"/>
    <mergeCell ref="A302:A304"/>
    <mergeCell ref="B302:C302"/>
    <mergeCell ref="B303:C303"/>
    <mergeCell ref="B304:C304"/>
    <mergeCell ref="A291:A292"/>
    <mergeCell ref="B291:C291"/>
    <mergeCell ref="B292:C292"/>
    <mergeCell ref="A293:C293"/>
    <mergeCell ref="A294:A300"/>
    <mergeCell ref="B294:C294"/>
    <mergeCell ref="B295:C295"/>
    <mergeCell ref="B296:C296"/>
    <mergeCell ref="B297:C297"/>
    <mergeCell ref="A250:C250"/>
    <mergeCell ref="A251:A252"/>
    <mergeCell ref="B251:C251"/>
    <mergeCell ref="B252:C252"/>
    <mergeCell ref="A253:C253"/>
    <mergeCell ref="A254:A255"/>
    <mergeCell ref="B254:C254"/>
    <mergeCell ref="B255:C255"/>
    <mergeCell ref="A290:C290"/>
    <mergeCell ref="A280:C280"/>
    <mergeCell ref="A281:A286"/>
    <mergeCell ref="B281:C281"/>
    <mergeCell ref="A287:C287"/>
    <mergeCell ref="A288:A289"/>
    <mergeCell ref="B288:C288"/>
    <mergeCell ref="B289:C289"/>
    <mergeCell ref="A269:A274"/>
    <mergeCell ref="B269:C269"/>
    <mergeCell ref="A275:C275"/>
    <mergeCell ref="A276:A279"/>
    <mergeCell ref="B276:C276"/>
    <mergeCell ref="B277:C277"/>
    <mergeCell ref="B278:C278"/>
    <mergeCell ref="B279:C279"/>
    <mergeCell ref="B241:C241"/>
    <mergeCell ref="B242:C242"/>
    <mergeCell ref="A243:C243"/>
    <mergeCell ref="A200:C200"/>
    <mergeCell ref="B201:C201"/>
    <mergeCell ref="B202:C202"/>
    <mergeCell ref="B209:C209"/>
    <mergeCell ref="B227:C227"/>
    <mergeCell ref="B203:C203"/>
    <mergeCell ref="B204:C204"/>
    <mergeCell ref="B205:C205"/>
    <mergeCell ref="B206:C206"/>
    <mergeCell ref="B207:C207"/>
    <mergeCell ref="B208:C208"/>
    <mergeCell ref="B210:C210"/>
    <mergeCell ref="B211:C211"/>
    <mergeCell ref="B212:C212"/>
    <mergeCell ref="B213:C213"/>
    <mergeCell ref="B214:C214"/>
    <mergeCell ref="B215:C215"/>
    <mergeCell ref="B216:C216"/>
    <mergeCell ref="B217:C217"/>
    <mergeCell ref="B218:C218"/>
    <mergeCell ref="A201:A238"/>
    <mergeCell ref="A264:C264"/>
    <mergeCell ref="A265:A267"/>
    <mergeCell ref="B265:C265"/>
    <mergeCell ref="B266:C266"/>
    <mergeCell ref="B267:C267"/>
    <mergeCell ref="A268:C268"/>
    <mergeCell ref="B197:C197"/>
    <mergeCell ref="B198:C198"/>
    <mergeCell ref="B199:C199"/>
    <mergeCell ref="A261:C261"/>
    <mergeCell ref="A262:A263"/>
    <mergeCell ref="B262:C262"/>
    <mergeCell ref="B263:C263"/>
    <mergeCell ref="A244:A246"/>
    <mergeCell ref="B244:C244"/>
    <mergeCell ref="B245:C245"/>
    <mergeCell ref="B246:C246"/>
    <mergeCell ref="A247:C247"/>
    <mergeCell ref="A248:A249"/>
    <mergeCell ref="B248:C248"/>
    <mergeCell ref="B249:C249"/>
    <mergeCell ref="A239:C239"/>
    <mergeCell ref="A240:A242"/>
    <mergeCell ref="B240:C240"/>
    <mergeCell ref="B191:C191"/>
    <mergeCell ref="B192:C192"/>
    <mergeCell ref="B193:C193"/>
    <mergeCell ref="B194:C194"/>
    <mergeCell ref="B195:C195"/>
    <mergeCell ref="B196:C196"/>
    <mergeCell ref="B185:C185"/>
    <mergeCell ref="B186:C186"/>
    <mergeCell ref="B187:C187"/>
    <mergeCell ref="B188:C188"/>
    <mergeCell ref="B189:C189"/>
    <mergeCell ref="B190:C190"/>
    <mergeCell ref="B180:C180"/>
    <mergeCell ref="B181:C181"/>
    <mergeCell ref="B182:C182"/>
    <mergeCell ref="B183:C183"/>
    <mergeCell ref="B184:C184"/>
    <mergeCell ref="B173:C173"/>
    <mergeCell ref="B174:C174"/>
    <mergeCell ref="B175:C175"/>
    <mergeCell ref="B176:C176"/>
    <mergeCell ref="B177:C177"/>
    <mergeCell ref="B178:C178"/>
    <mergeCell ref="A256:C256"/>
    <mergeCell ref="A257:A260"/>
    <mergeCell ref="B257:C257"/>
    <mergeCell ref="B258:C258"/>
    <mergeCell ref="B259:C259"/>
    <mergeCell ref="B260:C260"/>
    <mergeCell ref="A158:C158"/>
    <mergeCell ref="A159:A160"/>
    <mergeCell ref="B159:C159"/>
    <mergeCell ref="B160:C160"/>
    <mergeCell ref="A161:C161"/>
    <mergeCell ref="A162:A163"/>
    <mergeCell ref="B162:C162"/>
    <mergeCell ref="A164:C164"/>
    <mergeCell ref="A165:A199"/>
    <mergeCell ref="B165:C165"/>
    <mergeCell ref="B166:C166"/>
    <mergeCell ref="B167:C167"/>
    <mergeCell ref="B168:C168"/>
    <mergeCell ref="B169:C169"/>
    <mergeCell ref="B170:C170"/>
    <mergeCell ref="B171:C171"/>
    <mergeCell ref="B172:C172"/>
    <mergeCell ref="B179:C179"/>
    <mergeCell ref="A138:C138"/>
    <mergeCell ref="A139:A145"/>
    <mergeCell ref="B139:C139"/>
    <mergeCell ref="B140:C140"/>
    <mergeCell ref="B141:C141"/>
    <mergeCell ref="B142:C142"/>
    <mergeCell ref="B143:C143"/>
    <mergeCell ref="B144:C144"/>
    <mergeCell ref="A33:C33"/>
    <mergeCell ref="B34:C34"/>
    <mergeCell ref="B35:C35"/>
    <mergeCell ref="B42:C42"/>
    <mergeCell ref="B60:C60"/>
    <mergeCell ref="B108:C108"/>
    <mergeCell ref="B109:C109"/>
    <mergeCell ref="B110:C110"/>
    <mergeCell ref="A99:A115"/>
    <mergeCell ref="B99:C99"/>
    <mergeCell ref="B100:C100"/>
    <mergeCell ref="B101:C101"/>
    <mergeCell ref="B102:C102"/>
    <mergeCell ref="B103:C103"/>
    <mergeCell ref="B104:C104"/>
    <mergeCell ref="B145:C145"/>
    <mergeCell ref="A151:C151"/>
    <mergeCell ref="A152:A157"/>
    <mergeCell ref="B152:C152"/>
    <mergeCell ref="A146:C146"/>
    <mergeCell ref="A147:A150"/>
    <mergeCell ref="B147:C147"/>
    <mergeCell ref="B148:C148"/>
    <mergeCell ref="B149:C149"/>
    <mergeCell ref="B150:C150"/>
    <mergeCell ref="A132:A137"/>
    <mergeCell ref="B132:C132"/>
    <mergeCell ref="A72:C72"/>
    <mergeCell ref="A73:A74"/>
    <mergeCell ref="B73:C73"/>
    <mergeCell ref="B74:C74"/>
    <mergeCell ref="A127:C127"/>
    <mergeCell ref="A128:A130"/>
    <mergeCell ref="B128:C128"/>
    <mergeCell ref="B129:C129"/>
    <mergeCell ref="B130:C130"/>
    <mergeCell ref="A131:C131"/>
    <mergeCell ref="A75:C75"/>
    <mergeCell ref="A76:A77"/>
    <mergeCell ref="B76:C76"/>
    <mergeCell ref="B77:C77"/>
    <mergeCell ref="A78:C78"/>
    <mergeCell ref="A79:A81"/>
    <mergeCell ref="B79:C79"/>
    <mergeCell ref="B80:C80"/>
    <mergeCell ref="B81:C81"/>
    <mergeCell ref="A82:C82"/>
    <mergeCell ref="A83:A97"/>
    <mergeCell ref="B87:C87"/>
    <mergeCell ref="B88:C88"/>
    <mergeCell ref="B89:C89"/>
    <mergeCell ref="B90:C90"/>
    <mergeCell ref="B97:C97"/>
    <mergeCell ref="A116:C116"/>
    <mergeCell ref="A117:A118"/>
    <mergeCell ref="B117:C117"/>
    <mergeCell ref="B95:C95"/>
    <mergeCell ref="B96:C96"/>
    <mergeCell ref="B114:C114"/>
    <mergeCell ref="B93:C93"/>
    <mergeCell ref="B94:C94"/>
    <mergeCell ref="B113:C113"/>
    <mergeCell ref="B105:C105"/>
    <mergeCell ref="B106:C106"/>
    <mergeCell ref="B107:C107"/>
    <mergeCell ref="A98:C98"/>
    <mergeCell ref="B91:C91"/>
    <mergeCell ref="B92:C92"/>
    <mergeCell ref="B115:C115"/>
    <mergeCell ref="B111:C111"/>
    <mergeCell ref="B112:C112"/>
    <mergeCell ref="B23:C23"/>
    <mergeCell ref="B24:C24"/>
    <mergeCell ref="B25:C25"/>
    <mergeCell ref="B26:C26"/>
    <mergeCell ref="B27:C27"/>
    <mergeCell ref="B28:C28"/>
    <mergeCell ref="B84:C84"/>
    <mergeCell ref="B85:C85"/>
    <mergeCell ref="B86:C86"/>
    <mergeCell ref="B32:C32"/>
    <mergeCell ref="B36:C36"/>
    <mergeCell ref="B37:C37"/>
    <mergeCell ref="B38:C38"/>
    <mergeCell ref="B39:C39"/>
    <mergeCell ref="B40:C40"/>
    <mergeCell ref="B41:C41"/>
    <mergeCell ref="B43:C43"/>
    <mergeCell ref="B44:C44"/>
    <mergeCell ref="B45:C45"/>
    <mergeCell ref="B46:C46"/>
    <mergeCell ref="B47:C47"/>
    <mergeCell ref="B48:C48"/>
    <mergeCell ref="B49:C49"/>
    <mergeCell ref="B50:C50"/>
    <mergeCell ref="A124:C124"/>
    <mergeCell ref="A125:A126"/>
    <mergeCell ref="B125:C125"/>
    <mergeCell ref="B126:C126"/>
    <mergeCell ref="B8:C8"/>
    <mergeCell ref="B9:C9"/>
    <mergeCell ref="B10:C10"/>
    <mergeCell ref="B17:C17"/>
    <mergeCell ref="B18:C18"/>
    <mergeCell ref="B19:C19"/>
    <mergeCell ref="B20:C20"/>
    <mergeCell ref="B21:C21"/>
    <mergeCell ref="B118:C118"/>
    <mergeCell ref="B22:C22"/>
    <mergeCell ref="B11:C11"/>
    <mergeCell ref="B12:C12"/>
    <mergeCell ref="B13:C13"/>
    <mergeCell ref="B14:C14"/>
    <mergeCell ref="B15:C15"/>
    <mergeCell ref="B16:C16"/>
    <mergeCell ref="B29:C29"/>
    <mergeCell ref="B30:C30"/>
    <mergeCell ref="B83:C83"/>
    <mergeCell ref="B31:C31"/>
    <mergeCell ref="A446:C446"/>
    <mergeCell ref="A447:A454"/>
    <mergeCell ref="B447:C447"/>
    <mergeCell ref="A455:C455"/>
    <mergeCell ref="A456:A457"/>
    <mergeCell ref="B456:C456"/>
    <mergeCell ref="A1:G1"/>
    <mergeCell ref="A119:C119"/>
    <mergeCell ref="A120:A123"/>
    <mergeCell ref="B120:C120"/>
    <mergeCell ref="B121:C121"/>
    <mergeCell ref="B122:C122"/>
    <mergeCell ref="B123:C123"/>
    <mergeCell ref="A323:C323"/>
    <mergeCell ref="A324:A325"/>
    <mergeCell ref="B324:C324"/>
    <mergeCell ref="B325:C325"/>
    <mergeCell ref="A2:C2"/>
    <mergeCell ref="A3:A32"/>
    <mergeCell ref="B3:C3"/>
    <mergeCell ref="B4:C4"/>
    <mergeCell ref="B5:C5"/>
    <mergeCell ref="B6:C6"/>
    <mergeCell ref="B7:C7"/>
    <mergeCell ref="A554:A561"/>
    <mergeCell ref="B554:C554"/>
    <mergeCell ref="B555:C555"/>
    <mergeCell ref="B556:C556"/>
    <mergeCell ref="B557:C557"/>
    <mergeCell ref="B558:C558"/>
    <mergeCell ref="B559:C559"/>
    <mergeCell ref="B560:C560"/>
    <mergeCell ref="B561:C561"/>
    <mergeCell ref="A34:A71"/>
    <mergeCell ref="B71:C71"/>
    <mergeCell ref="B61:C61"/>
    <mergeCell ref="B62:C62"/>
    <mergeCell ref="B63:C63"/>
    <mergeCell ref="B64:C64"/>
    <mergeCell ref="B65:C65"/>
    <mergeCell ref="B66:C66"/>
    <mergeCell ref="B67:C67"/>
    <mergeCell ref="B68:C68"/>
    <mergeCell ref="B69:C69"/>
    <mergeCell ref="B70:C70"/>
    <mergeCell ref="B51:C51"/>
    <mergeCell ref="B52:C52"/>
    <mergeCell ref="B53:C53"/>
    <mergeCell ref="B54:C54"/>
    <mergeCell ref="B55:C55"/>
    <mergeCell ref="B56:C56"/>
    <mergeCell ref="B57:C57"/>
    <mergeCell ref="B58:C58"/>
    <mergeCell ref="B59:C59"/>
    <mergeCell ref="B219:C219"/>
    <mergeCell ref="B220:C220"/>
    <mergeCell ref="B221:C221"/>
    <mergeCell ref="B222:C222"/>
    <mergeCell ref="B223:C223"/>
    <mergeCell ref="B224:C224"/>
    <mergeCell ref="B225:C225"/>
    <mergeCell ref="B226:C226"/>
    <mergeCell ref="B238:C238"/>
    <mergeCell ref="B228:C228"/>
    <mergeCell ref="B229:C229"/>
    <mergeCell ref="B230:C230"/>
    <mergeCell ref="B231:C231"/>
    <mergeCell ref="B232:C232"/>
    <mergeCell ref="B233:C233"/>
    <mergeCell ref="B234:C234"/>
    <mergeCell ref="B235:C235"/>
    <mergeCell ref="B236:C236"/>
    <mergeCell ref="B237:C237"/>
  </mergeCells>
  <pageMargins left="0.7" right="0.7" top="0.75" bottom="0.75" header="0.3" footer="0.3"/>
  <pageSetup paperSize="9" scale="57" fitToHeight="0" orientation="portrait" r:id="rId1"/>
  <rowBreaks count="9" manualBreakCount="9">
    <brk id="74" max="6" man="1"/>
    <brk id="130" max="6" man="1"/>
    <brk id="163" max="6" man="1"/>
    <brk id="238" max="6" man="1"/>
    <brk id="290" max="6" man="1"/>
    <brk id="342" max="6" man="1"/>
    <brk id="404" max="6" man="1"/>
    <brk id="466" max="6" man="1"/>
    <brk id="519"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9">
    <tabColor theme="9" tint="-0.499984740745262"/>
  </sheetPr>
  <dimension ref="A2:V87"/>
  <sheetViews>
    <sheetView topLeftCell="A61" zoomScale="80" zoomScaleNormal="80" workbookViewId="0">
      <selection activeCell="B83" sqref="B83:B84"/>
    </sheetView>
  </sheetViews>
  <sheetFormatPr defaultColWidth="11.42578125" defaultRowHeight="14.45"/>
  <cols>
    <col min="2" max="2" width="80.85546875" customWidth="1"/>
    <col min="3" max="3" width="78" customWidth="1"/>
    <col min="4" max="4" width="15" customWidth="1"/>
    <col min="5" max="5" width="13.140625" customWidth="1"/>
    <col min="6" max="6" width="19.85546875" customWidth="1"/>
    <col min="7" max="7" width="13" style="33" customWidth="1"/>
    <col min="8" max="8" width="22.85546875" customWidth="1"/>
    <col min="9" max="9" width="9.140625" customWidth="1"/>
    <col min="10" max="10" width="16.42578125" customWidth="1"/>
    <col min="11" max="11" width="11.140625" customWidth="1"/>
    <col min="12" max="12" width="16.42578125" customWidth="1"/>
    <col min="13" max="13" width="13.42578125" customWidth="1"/>
    <col min="14" max="14" width="20.85546875" customWidth="1"/>
    <col min="15" max="15" width="16.85546875" customWidth="1"/>
    <col min="16" max="16" width="62" customWidth="1"/>
    <col min="17" max="17" width="60" style="283" bestFit="1" customWidth="1"/>
    <col min="18" max="18" width="8" style="283" customWidth="1"/>
    <col min="19" max="19" width="12" style="283" customWidth="1"/>
    <col min="20" max="20" width="11.5703125" style="283" customWidth="1"/>
    <col min="21" max="21" width="46.5703125" style="283" bestFit="1" customWidth="1"/>
    <col min="22" max="22" width="36.42578125" customWidth="1"/>
  </cols>
  <sheetData>
    <row r="2" spans="1:22">
      <c r="G2" s="304" t="s">
        <v>563</v>
      </c>
    </row>
    <row r="3" spans="1:22">
      <c r="B3" s="303" t="s">
        <v>564</v>
      </c>
      <c r="F3" s="297"/>
      <c r="H3" s="297"/>
      <c r="I3" s="297"/>
      <c r="J3" s="297"/>
      <c r="K3" s="297"/>
      <c r="L3" s="297"/>
      <c r="M3" s="297"/>
    </row>
    <row r="4" spans="1:22">
      <c r="B4" t="s">
        <v>255</v>
      </c>
      <c r="C4" t="s">
        <v>565</v>
      </c>
      <c r="D4" s="33">
        <v>4</v>
      </c>
      <c r="E4" s="298">
        <v>2448.8571428571427</v>
      </c>
      <c r="F4" s="298">
        <v>68568</v>
      </c>
      <c r="G4" s="305" t="s">
        <v>26</v>
      </c>
      <c r="H4" s="298"/>
      <c r="I4" s="298"/>
      <c r="J4" s="298"/>
      <c r="K4" s="298"/>
      <c r="L4" s="298"/>
      <c r="P4" s="295" t="s">
        <v>565</v>
      </c>
    </row>
    <row r="5" spans="1:22">
      <c r="B5" t="s">
        <v>257</v>
      </c>
      <c r="C5" t="s">
        <v>566</v>
      </c>
      <c r="D5" s="33">
        <v>15</v>
      </c>
      <c r="E5" s="298">
        <v>610.71428571428567</v>
      </c>
      <c r="F5" s="298">
        <v>64124.999999999993</v>
      </c>
      <c r="G5" s="305" t="s">
        <v>567</v>
      </c>
      <c r="H5" s="298"/>
      <c r="I5" s="298"/>
      <c r="J5" s="298"/>
      <c r="K5" s="298"/>
      <c r="L5" s="298"/>
      <c r="P5" s="295" t="s">
        <v>566</v>
      </c>
    </row>
    <row r="6" spans="1:22">
      <c r="B6" t="s">
        <v>258</v>
      </c>
      <c r="C6" t="s">
        <v>568</v>
      </c>
      <c r="D6" s="33">
        <v>25</v>
      </c>
      <c r="E6" s="298">
        <v>525</v>
      </c>
      <c r="F6" s="298">
        <v>91875</v>
      </c>
      <c r="G6" s="305" t="s">
        <v>567</v>
      </c>
      <c r="H6" s="298"/>
      <c r="I6" s="298"/>
      <c r="J6" s="298"/>
      <c r="K6" s="298"/>
      <c r="L6" s="298"/>
      <c r="P6" s="295" t="s">
        <v>568</v>
      </c>
    </row>
    <row r="7" spans="1:22">
      <c r="B7" t="s">
        <v>259</v>
      </c>
      <c r="C7" t="s">
        <v>569</v>
      </c>
      <c r="D7" s="33">
        <v>10</v>
      </c>
      <c r="E7" s="298">
        <v>214.28571428571428</v>
      </c>
      <c r="F7" s="298">
        <v>14999.999999999998</v>
      </c>
      <c r="G7" s="305" t="s">
        <v>26</v>
      </c>
      <c r="H7" s="298"/>
      <c r="I7" s="298"/>
      <c r="J7" s="298"/>
      <c r="K7" s="298"/>
      <c r="L7" s="298"/>
      <c r="P7" s="295" t="s">
        <v>569</v>
      </c>
    </row>
    <row r="8" spans="1:22">
      <c r="B8" t="s">
        <v>260</v>
      </c>
      <c r="C8" t="s">
        <v>570</v>
      </c>
      <c r="D8" s="33">
        <v>4</v>
      </c>
      <c r="E8" s="298">
        <v>4065</v>
      </c>
      <c r="F8" s="298">
        <v>113820</v>
      </c>
      <c r="G8" s="305" t="s">
        <v>26</v>
      </c>
      <c r="H8" s="298"/>
      <c r="I8" s="298"/>
      <c r="J8" s="298"/>
      <c r="K8" s="298"/>
      <c r="L8" s="298"/>
      <c r="P8" s="295" t="s">
        <v>570</v>
      </c>
    </row>
    <row r="9" spans="1:22">
      <c r="B9" t="s">
        <v>571</v>
      </c>
      <c r="C9" t="s">
        <v>572</v>
      </c>
      <c r="D9" s="33">
        <v>8</v>
      </c>
      <c r="E9" s="298">
        <v>7315.4357142857134</v>
      </c>
      <c r="F9" s="298">
        <v>409664.39999999997</v>
      </c>
      <c r="G9" s="305" t="s">
        <v>26</v>
      </c>
      <c r="H9" s="298"/>
      <c r="I9" s="298"/>
      <c r="J9" s="298"/>
      <c r="K9" s="298"/>
      <c r="L9" s="298"/>
      <c r="P9" s="296" t="s">
        <v>232</v>
      </c>
    </row>
    <row r="10" spans="1:22">
      <c r="F10" s="299">
        <f>SUM(F4:F9)</f>
        <v>763052.39999999991</v>
      </c>
      <c r="G10" s="305"/>
      <c r="H10" s="299"/>
      <c r="I10" s="299"/>
      <c r="J10" s="299"/>
      <c r="K10" s="299"/>
      <c r="L10" s="299"/>
    </row>
    <row r="11" spans="1:22">
      <c r="B11" s="303" t="s">
        <v>573</v>
      </c>
      <c r="F11" s="299"/>
      <c r="G11" s="305"/>
      <c r="H11" s="299"/>
      <c r="I11" s="299"/>
      <c r="J11" s="299"/>
      <c r="K11" s="299"/>
      <c r="L11" s="299"/>
    </row>
    <row r="12" spans="1:22">
      <c r="A12" s="302"/>
      <c r="B12" t="s">
        <v>574</v>
      </c>
      <c r="C12" t="s">
        <v>575</v>
      </c>
      <c r="D12" s="33">
        <v>10</v>
      </c>
      <c r="E12" s="283">
        <v>143.57142857142858</v>
      </c>
      <c r="F12" s="283">
        <v>10050</v>
      </c>
      <c r="G12" s="305" t="s">
        <v>567</v>
      </c>
      <c r="P12" s="287" t="s">
        <v>576</v>
      </c>
      <c r="Q12" s="288">
        <v>10</v>
      </c>
      <c r="R12" s="286">
        <v>143.57142857142858</v>
      </c>
      <c r="S12" s="283">
        <v>10050</v>
      </c>
      <c r="U12" s="290" t="s">
        <v>576</v>
      </c>
      <c r="V12" s="284"/>
    </row>
    <row r="13" spans="1:22">
      <c r="A13" s="302"/>
      <c r="B13" t="s">
        <v>577</v>
      </c>
      <c r="C13" t="s">
        <v>578</v>
      </c>
      <c r="D13" s="33">
        <v>8</v>
      </c>
      <c r="E13" s="283">
        <v>53.571428571428569</v>
      </c>
      <c r="F13" s="283">
        <v>3000</v>
      </c>
      <c r="G13" s="305" t="s">
        <v>579</v>
      </c>
      <c r="P13" s="283" t="s">
        <v>580</v>
      </c>
      <c r="Q13" s="283">
        <v>8</v>
      </c>
      <c r="R13" s="283">
        <v>53.571428571428569</v>
      </c>
      <c r="S13" s="283">
        <v>3000</v>
      </c>
      <c r="U13" s="290" t="s">
        <v>580</v>
      </c>
      <c r="V13" s="284"/>
    </row>
    <row r="14" spans="1:22">
      <c r="A14" s="302"/>
      <c r="B14" t="s">
        <v>265</v>
      </c>
      <c r="C14" t="s">
        <v>581</v>
      </c>
      <c r="D14" s="33">
        <v>6</v>
      </c>
      <c r="E14" s="283">
        <v>28.928571428571427</v>
      </c>
      <c r="F14" s="283">
        <v>1215</v>
      </c>
      <c r="G14" s="305" t="s">
        <v>579</v>
      </c>
      <c r="P14" s="283" t="s">
        <v>582</v>
      </c>
      <c r="Q14" s="283">
        <v>8</v>
      </c>
      <c r="S14" s="283">
        <v>57.857142857142854</v>
      </c>
      <c r="T14" s="283">
        <v>3240</v>
      </c>
      <c r="U14" s="290" t="s">
        <v>581</v>
      </c>
      <c r="V14" s="284"/>
    </row>
    <row r="15" spans="1:22">
      <c r="A15" s="302"/>
      <c r="B15" t="s">
        <v>583</v>
      </c>
      <c r="C15" t="s">
        <v>584</v>
      </c>
      <c r="D15" s="33">
        <v>8</v>
      </c>
      <c r="E15" s="283">
        <v>57.857142857142854</v>
      </c>
      <c r="F15" s="283">
        <v>3240</v>
      </c>
      <c r="G15" s="305" t="s">
        <v>567</v>
      </c>
      <c r="P15" s="283" t="s">
        <v>585</v>
      </c>
      <c r="R15" s="283">
        <v>10</v>
      </c>
      <c r="S15" s="283">
        <v>210.85714285714286</v>
      </c>
      <c r="T15" s="283">
        <v>14760</v>
      </c>
      <c r="U15" s="291" t="s">
        <v>582</v>
      </c>
      <c r="V15" s="284"/>
    </row>
    <row r="16" spans="1:22">
      <c r="A16" s="302"/>
      <c r="B16" t="s">
        <v>586</v>
      </c>
      <c r="C16" t="s">
        <v>587</v>
      </c>
      <c r="D16" s="33">
        <v>13</v>
      </c>
      <c r="E16" s="283">
        <v>257.14285714285717</v>
      </c>
      <c r="F16" s="283">
        <v>23400</v>
      </c>
      <c r="G16" s="305" t="s">
        <v>579</v>
      </c>
      <c r="P16" s="287" t="s">
        <v>588</v>
      </c>
      <c r="R16" s="283">
        <v>13</v>
      </c>
      <c r="S16" s="283">
        <v>257.14285714285717</v>
      </c>
      <c r="T16" s="283">
        <v>23400</v>
      </c>
      <c r="U16" s="290" t="s">
        <v>588</v>
      </c>
      <c r="V16" s="284"/>
    </row>
    <row r="17" spans="1:22">
      <c r="A17" s="302"/>
      <c r="B17" t="s">
        <v>268</v>
      </c>
      <c r="C17" t="s">
        <v>268</v>
      </c>
      <c r="D17" s="33">
        <v>9</v>
      </c>
      <c r="E17" s="283">
        <v>128.57142857142858</v>
      </c>
      <c r="F17" s="283">
        <v>8100.0000000000018</v>
      </c>
      <c r="G17" s="305" t="s">
        <v>579</v>
      </c>
      <c r="U17" s="294" t="s">
        <v>589</v>
      </c>
    </row>
    <row r="18" spans="1:22">
      <c r="A18" s="302"/>
      <c r="B18" t="s">
        <v>269</v>
      </c>
      <c r="C18" t="s">
        <v>590</v>
      </c>
      <c r="D18" s="33">
        <v>9</v>
      </c>
      <c r="E18" s="283">
        <v>35.357142857142854</v>
      </c>
      <c r="F18" s="283">
        <v>2227.4999999999995</v>
      </c>
      <c r="G18" s="305" t="s">
        <v>579</v>
      </c>
      <c r="P18" s="283" t="s">
        <v>581</v>
      </c>
      <c r="R18" s="283">
        <v>6</v>
      </c>
      <c r="S18" s="283">
        <v>28.928571428571427</v>
      </c>
      <c r="T18" s="283">
        <v>1215</v>
      </c>
      <c r="U18" s="294" t="s">
        <v>591</v>
      </c>
      <c r="V18" s="284"/>
    </row>
    <row r="19" spans="1:22">
      <c r="A19" s="302"/>
      <c r="B19" t="s">
        <v>270</v>
      </c>
      <c r="C19" t="s">
        <v>592</v>
      </c>
      <c r="D19" s="33">
        <v>10</v>
      </c>
      <c r="E19" s="283">
        <v>210.85714285714286</v>
      </c>
      <c r="F19" s="283">
        <v>14760</v>
      </c>
      <c r="G19" s="305" t="s">
        <v>26</v>
      </c>
      <c r="U19" s="292" t="s">
        <v>585</v>
      </c>
      <c r="V19" s="284"/>
    </row>
    <row r="20" spans="1:22">
      <c r="A20" s="302"/>
      <c r="B20" t="s">
        <v>593</v>
      </c>
      <c r="C20" t="s">
        <v>594</v>
      </c>
      <c r="D20" s="33">
        <v>8</v>
      </c>
      <c r="E20" s="283">
        <v>53.571428571428569</v>
      </c>
      <c r="F20" s="283">
        <v>3000</v>
      </c>
      <c r="G20" s="305" t="s">
        <v>26</v>
      </c>
      <c r="P20" s="283" t="s">
        <v>595</v>
      </c>
      <c r="R20" s="283">
        <v>8</v>
      </c>
      <c r="S20" s="283">
        <v>53.571428571428569</v>
      </c>
      <c r="T20" s="283">
        <v>3000</v>
      </c>
      <c r="U20" s="290" t="s">
        <v>595</v>
      </c>
      <c r="V20" s="284"/>
    </row>
    <row r="21" spans="1:22">
      <c r="A21" s="302"/>
      <c r="B21" t="s">
        <v>596</v>
      </c>
      <c r="C21" t="s">
        <v>597</v>
      </c>
      <c r="D21" s="33">
        <v>14</v>
      </c>
      <c r="E21" s="283">
        <v>131.78571428571428</v>
      </c>
      <c r="F21" s="283">
        <v>12915</v>
      </c>
      <c r="G21" s="305" t="s">
        <v>69</v>
      </c>
      <c r="P21" s="283" t="s">
        <v>598</v>
      </c>
      <c r="R21" s="283">
        <v>14</v>
      </c>
      <c r="S21" s="283">
        <v>131.78571428571428</v>
      </c>
      <c r="T21" s="283">
        <v>12915</v>
      </c>
      <c r="U21" s="289" t="s">
        <v>598</v>
      </c>
    </row>
    <row r="22" spans="1:22">
      <c r="A22" s="302"/>
      <c r="B22" t="s">
        <v>274</v>
      </c>
      <c r="C22" t="s">
        <v>599</v>
      </c>
      <c r="D22" s="33">
        <v>14</v>
      </c>
      <c r="E22" s="283">
        <v>451.07142857142856</v>
      </c>
      <c r="F22" s="283">
        <v>44205</v>
      </c>
      <c r="G22" s="305" t="s">
        <v>69</v>
      </c>
      <c r="P22" s="283" t="s">
        <v>599</v>
      </c>
      <c r="R22" s="283">
        <v>14</v>
      </c>
      <c r="S22" s="283">
        <v>451.07142857142856</v>
      </c>
      <c r="T22" s="283">
        <v>44205</v>
      </c>
      <c r="U22" s="293" t="s">
        <v>599</v>
      </c>
    </row>
    <row r="23" spans="1:22">
      <c r="A23" s="302"/>
      <c r="B23" t="s">
        <v>275</v>
      </c>
      <c r="C23" t="s">
        <v>600</v>
      </c>
      <c r="D23" s="33">
        <v>14</v>
      </c>
      <c r="E23" s="283">
        <v>469.28571428571428</v>
      </c>
      <c r="F23" s="283">
        <v>45990</v>
      </c>
      <c r="G23" s="305" t="s">
        <v>69</v>
      </c>
      <c r="P23" s="283" t="s">
        <v>601</v>
      </c>
      <c r="R23" s="283">
        <v>14</v>
      </c>
      <c r="S23" s="283">
        <v>469.28571428571428</v>
      </c>
      <c r="T23" s="283">
        <v>45990</v>
      </c>
      <c r="U23" s="289" t="s">
        <v>601</v>
      </c>
    </row>
    <row r="24" spans="1:22">
      <c r="A24" s="302"/>
      <c r="B24" t="s">
        <v>276</v>
      </c>
      <c r="C24" t="s">
        <v>602</v>
      </c>
      <c r="D24" s="33">
        <v>14</v>
      </c>
      <c r="E24" s="283">
        <v>173.35714285714286</v>
      </c>
      <c r="F24" s="283">
        <v>16989</v>
      </c>
      <c r="G24" s="305" t="s">
        <v>69</v>
      </c>
      <c r="P24" s="283" t="s">
        <v>603</v>
      </c>
      <c r="R24" s="283">
        <v>14</v>
      </c>
      <c r="S24" s="283">
        <v>173.35714285714286</v>
      </c>
      <c r="T24" s="283">
        <v>16989</v>
      </c>
      <c r="U24" s="289" t="s">
        <v>603</v>
      </c>
      <c r="V24" s="284"/>
    </row>
    <row r="25" spans="1:22">
      <c r="A25" s="302"/>
      <c r="B25" t="s">
        <v>277</v>
      </c>
      <c r="C25" t="s">
        <v>604</v>
      </c>
      <c r="D25" s="33">
        <v>14</v>
      </c>
      <c r="E25" s="283">
        <v>182.14285714285714</v>
      </c>
      <c r="F25" s="283">
        <v>17850</v>
      </c>
      <c r="G25" s="305" t="s">
        <v>69</v>
      </c>
      <c r="P25" s="283" t="s">
        <v>604</v>
      </c>
      <c r="R25" s="283">
        <v>14</v>
      </c>
      <c r="S25" s="283">
        <v>182.14285714285714</v>
      </c>
      <c r="T25" s="283">
        <v>17850</v>
      </c>
      <c r="U25" s="289" t="s">
        <v>604</v>
      </c>
    </row>
    <row r="26" spans="1:22">
      <c r="E26" s="283"/>
      <c r="F26" s="299">
        <f>SUM(F12:F25)</f>
        <v>206941.5</v>
      </c>
      <c r="G26" s="305"/>
      <c r="P26" s="283" t="s">
        <v>591</v>
      </c>
      <c r="R26" s="283">
        <v>9</v>
      </c>
      <c r="S26" s="283">
        <v>35.357142857142854</v>
      </c>
      <c r="T26" s="283">
        <v>2227.4999999999995</v>
      </c>
    </row>
    <row r="27" spans="1:22">
      <c r="B27" s="303" t="s">
        <v>605</v>
      </c>
      <c r="E27" s="283"/>
      <c r="F27" s="299"/>
      <c r="G27" s="305"/>
      <c r="P27" s="283"/>
    </row>
    <row r="28" spans="1:22">
      <c r="A28" s="302"/>
      <c r="B28" t="s">
        <v>244</v>
      </c>
      <c r="C28" t="s">
        <v>606</v>
      </c>
      <c r="D28" s="282">
        <v>625</v>
      </c>
      <c r="E28" s="283">
        <v>4.5</v>
      </c>
      <c r="F28" s="283">
        <v>14062.5</v>
      </c>
      <c r="G28" s="305" t="s">
        <v>26</v>
      </c>
      <c r="P28" s="285" t="s">
        <v>606</v>
      </c>
      <c r="Q28" s="283" t="s">
        <v>606</v>
      </c>
      <c r="R28" s="283">
        <v>625</v>
      </c>
      <c r="S28" s="283">
        <v>4.5</v>
      </c>
      <c r="T28" s="283">
        <v>14062.5</v>
      </c>
    </row>
    <row r="29" spans="1:22">
      <c r="A29" s="302"/>
      <c r="B29" t="s">
        <v>245</v>
      </c>
      <c r="C29" t="s">
        <v>607</v>
      </c>
      <c r="D29" s="282">
        <v>625</v>
      </c>
      <c r="E29" s="283">
        <v>14.55</v>
      </c>
      <c r="F29" s="283">
        <v>45468.75</v>
      </c>
      <c r="G29" s="305" t="s">
        <v>26</v>
      </c>
      <c r="P29" s="285" t="s">
        <v>607</v>
      </c>
      <c r="Q29" s="283" t="s">
        <v>607</v>
      </c>
      <c r="R29" s="283">
        <v>625</v>
      </c>
      <c r="S29" s="283">
        <v>14.55</v>
      </c>
      <c r="T29" s="283">
        <v>45468.75</v>
      </c>
    </row>
    <row r="30" spans="1:22">
      <c r="A30" s="302"/>
      <c r="B30" t="s">
        <v>279</v>
      </c>
      <c r="C30" t="s">
        <v>608</v>
      </c>
      <c r="D30" s="282">
        <v>625</v>
      </c>
      <c r="E30" s="283">
        <v>6</v>
      </c>
      <c r="F30" s="283">
        <v>18750</v>
      </c>
      <c r="G30" s="305" t="s">
        <v>26</v>
      </c>
      <c r="P30" s="285" t="s">
        <v>608</v>
      </c>
      <c r="Q30" s="283" t="s">
        <v>608</v>
      </c>
      <c r="R30" s="283">
        <v>625</v>
      </c>
      <c r="S30" s="283">
        <v>6</v>
      </c>
      <c r="T30" s="283">
        <v>18750</v>
      </c>
    </row>
    <row r="31" spans="1:22">
      <c r="A31" s="302"/>
      <c r="B31" t="s">
        <v>280</v>
      </c>
      <c r="C31" t="s">
        <v>609</v>
      </c>
      <c r="D31" s="282">
        <v>625</v>
      </c>
      <c r="E31" s="283">
        <v>9</v>
      </c>
      <c r="F31" s="283">
        <v>28125</v>
      </c>
      <c r="G31" s="305" t="s">
        <v>579</v>
      </c>
      <c r="P31" s="285" t="s">
        <v>609</v>
      </c>
      <c r="Q31" s="283" t="s">
        <v>609</v>
      </c>
      <c r="R31" s="283">
        <v>625</v>
      </c>
      <c r="S31" s="283">
        <v>9</v>
      </c>
      <c r="T31" s="283">
        <v>28125</v>
      </c>
    </row>
    <row r="32" spans="1:22">
      <c r="A32" s="302"/>
      <c r="B32" t="s">
        <v>281</v>
      </c>
      <c r="C32" t="s">
        <v>610</v>
      </c>
      <c r="D32" s="282">
        <v>625</v>
      </c>
      <c r="E32" s="283">
        <v>8.58</v>
      </c>
      <c r="F32" s="283">
        <v>26812.5</v>
      </c>
      <c r="G32" s="305" t="s">
        <v>579</v>
      </c>
      <c r="P32" s="285" t="s">
        <v>610</v>
      </c>
      <c r="Q32" s="283" t="s">
        <v>610</v>
      </c>
      <c r="R32" s="283">
        <v>625</v>
      </c>
      <c r="S32" s="283">
        <v>8.58</v>
      </c>
      <c r="T32" s="283">
        <v>26812.5</v>
      </c>
    </row>
    <row r="33" spans="1:20">
      <c r="A33" s="302"/>
      <c r="B33" t="s">
        <v>372</v>
      </c>
      <c r="C33" t="s">
        <v>611</v>
      </c>
      <c r="D33" s="282">
        <v>300</v>
      </c>
      <c r="E33" s="283">
        <v>12.18</v>
      </c>
      <c r="F33" s="283">
        <v>18270</v>
      </c>
      <c r="G33" s="305" t="s">
        <v>26</v>
      </c>
      <c r="P33" s="285" t="s">
        <v>611</v>
      </c>
      <c r="Q33" s="283" t="s">
        <v>611</v>
      </c>
      <c r="R33" s="283">
        <v>300</v>
      </c>
      <c r="S33" s="283">
        <v>12.18</v>
      </c>
      <c r="T33" s="283">
        <v>18270</v>
      </c>
    </row>
    <row r="34" spans="1:20">
      <c r="A34" s="302"/>
      <c r="B34" t="s">
        <v>373</v>
      </c>
      <c r="C34" t="s">
        <v>612</v>
      </c>
      <c r="D34" s="282">
        <v>300</v>
      </c>
      <c r="E34" s="283">
        <v>2.25</v>
      </c>
      <c r="F34" s="283">
        <v>3375</v>
      </c>
      <c r="G34" s="305" t="s">
        <v>579</v>
      </c>
      <c r="P34" s="285" t="s">
        <v>612</v>
      </c>
      <c r="Q34" s="283" t="s">
        <v>612</v>
      </c>
      <c r="R34" s="283">
        <v>300</v>
      </c>
      <c r="S34" s="283">
        <v>2.25</v>
      </c>
      <c r="T34" s="283">
        <v>3375</v>
      </c>
    </row>
    <row r="35" spans="1:20">
      <c r="A35" s="302"/>
      <c r="B35" t="s">
        <v>284</v>
      </c>
      <c r="C35" t="s">
        <v>613</v>
      </c>
      <c r="D35" s="282">
        <v>300</v>
      </c>
      <c r="E35" s="283">
        <v>15.45</v>
      </c>
      <c r="F35" s="283">
        <v>23175</v>
      </c>
      <c r="G35" s="305" t="s">
        <v>26</v>
      </c>
      <c r="P35" s="285" t="s">
        <v>613</v>
      </c>
      <c r="Q35" s="283" t="s">
        <v>613</v>
      </c>
      <c r="R35" s="283">
        <v>300</v>
      </c>
      <c r="S35" s="283">
        <v>15.45</v>
      </c>
      <c r="T35" s="283">
        <v>23175</v>
      </c>
    </row>
    <row r="36" spans="1:20">
      <c r="A36" s="302"/>
      <c r="B36" t="s">
        <v>285</v>
      </c>
      <c r="C36" t="s">
        <v>614</v>
      </c>
      <c r="D36" s="282">
        <v>625</v>
      </c>
      <c r="E36" s="283">
        <v>8.6999999999999993</v>
      </c>
      <c r="F36" s="283">
        <v>27187.5</v>
      </c>
      <c r="G36" s="305" t="s">
        <v>579</v>
      </c>
      <c r="P36" s="285" t="s">
        <v>614</v>
      </c>
      <c r="Q36" s="283" t="s">
        <v>614</v>
      </c>
      <c r="R36" s="283">
        <v>625</v>
      </c>
      <c r="S36" s="283">
        <v>8.6999999999999993</v>
      </c>
      <c r="T36" s="283">
        <v>27187.5</v>
      </c>
    </row>
    <row r="37" spans="1:20">
      <c r="A37" s="302"/>
      <c r="B37" t="s">
        <v>615</v>
      </c>
      <c r="C37" t="s">
        <v>616</v>
      </c>
      <c r="D37" s="282">
        <v>500</v>
      </c>
      <c r="E37" s="283">
        <v>6.75</v>
      </c>
      <c r="F37" s="283">
        <v>16875</v>
      </c>
      <c r="G37" s="305" t="s">
        <v>26</v>
      </c>
      <c r="P37" s="285" t="s">
        <v>616</v>
      </c>
      <c r="Q37" s="283" t="s">
        <v>616</v>
      </c>
      <c r="R37" s="283">
        <v>500</v>
      </c>
      <c r="S37" s="283">
        <v>6.75</v>
      </c>
      <c r="T37" s="283">
        <v>16875</v>
      </c>
    </row>
    <row r="38" spans="1:20">
      <c r="A38" s="302"/>
      <c r="B38" t="s">
        <v>617</v>
      </c>
      <c r="C38" t="s">
        <v>617</v>
      </c>
      <c r="E38" s="283"/>
      <c r="G38" s="305"/>
      <c r="P38" s="284"/>
    </row>
    <row r="39" spans="1:20">
      <c r="A39" s="302"/>
      <c r="B39" t="s">
        <v>618</v>
      </c>
      <c r="C39" t="s">
        <v>619</v>
      </c>
      <c r="G39" s="305"/>
      <c r="P39" s="284"/>
    </row>
    <row r="40" spans="1:20">
      <c r="F40" s="299">
        <f>SUM(F28:F37)</f>
        <v>222101.25</v>
      </c>
    </row>
    <row r="41" spans="1:20">
      <c r="F41" s="299"/>
    </row>
    <row r="42" spans="1:20" ht="18.600000000000001">
      <c r="F42" s="307">
        <f>F10+F26+F40</f>
        <v>1192095.1499999999</v>
      </c>
    </row>
    <row r="43" spans="1:20" ht="18.600000000000001">
      <c r="F43" s="307"/>
    </row>
    <row r="44" spans="1:20">
      <c r="B44" s="308"/>
      <c r="C44" s="308"/>
      <c r="D44" s="308"/>
      <c r="E44" s="308"/>
      <c r="F44" s="308"/>
    </row>
    <row r="45" spans="1:20" ht="18.95" thickBot="1">
      <c r="B45" s="414" t="s">
        <v>620</v>
      </c>
      <c r="C45" s="414"/>
      <c r="D45" s="414"/>
      <c r="E45" s="414"/>
      <c r="F45" s="414"/>
    </row>
    <row r="46" spans="1:20" ht="29.1">
      <c r="B46" s="415" t="s">
        <v>621</v>
      </c>
      <c r="C46" s="417" t="s">
        <v>622</v>
      </c>
      <c r="D46" s="419" t="s">
        <v>623</v>
      </c>
      <c r="E46" s="417" t="s">
        <v>223</v>
      </c>
      <c r="F46" s="300" t="s">
        <v>624</v>
      </c>
    </row>
    <row r="47" spans="1:20" ht="29.45" thickBot="1">
      <c r="B47" s="416"/>
      <c r="C47" s="418"/>
      <c r="D47" s="420"/>
      <c r="E47" s="418"/>
      <c r="F47" s="301" t="s">
        <v>625</v>
      </c>
    </row>
    <row r="48" spans="1:20">
      <c r="B48" t="s">
        <v>255</v>
      </c>
      <c r="C48" s="33">
        <v>4</v>
      </c>
      <c r="D48" s="283">
        <v>700000</v>
      </c>
      <c r="E48" s="283">
        <v>2800000</v>
      </c>
      <c r="F48" s="283">
        <f>E48*0.15</f>
        <v>420000</v>
      </c>
    </row>
    <row r="49" spans="2:6">
      <c r="B49" t="s">
        <v>257</v>
      </c>
      <c r="C49" s="282">
        <v>14</v>
      </c>
      <c r="D49" s="283">
        <v>28500</v>
      </c>
      <c r="E49" s="283">
        <v>399000</v>
      </c>
      <c r="F49" s="283">
        <f t="shared" ref="F49:F84" si="0">E49*0.15</f>
        <v>59850</v>
      </c>
    </row>
    <row r="50" spans="2:6">
      <c r="B50" t="s">
        <v>258</v>
      </c>
      <c r="C50" s="282">
        <v>14</v>
      </c>
      <c r="D50" s="283">
        <v>24500</v>
      </c>
      <c r="E50" s="283">
        <v>343000</v>
      </c>
      <c r="F50" s="283">
        <f t="shared" si="0"/>
        <v>51450</v>
      </c>
    </row>
    <row r="51" spans="2:6">
      <c r="B51" t="s">
        <v>259</v>
      </c>
      <c r="C51" s="282">
        <v>7</v>
      </c>
      <c r="D51" s="283">
        <v>10000</v>
      </c>
      <c r="E51" s="283">
        <v>70000</v>
      </c>
      <c r="F51" s="283">
        <f t="shared" si="0"/>
        <v>10500</v>
      </c>
    </row>
    <row r="52" spans="2:6">
      <c r="B52" t="s">
        <v>260</v>
      </c>
      <c r="C52" s="282">
        <v>4</v>
      </c>
      <c r="D52" s="283">
        <v>189700</v>
      </c>
      <c r="E52" s="283">
        <v>758800</v>
      </c>
      <c r="F52" s="283">
        <f t="shared" si="0"/>
        <v>113820</v>
      </c>
    </row>
    <row r="53" spans="2:6">
      <c r="B53" t="s">
        <v>571</v>
      </c>
      <c r="C53" s="282">
        <v>2</v>
      </c>
      <c r="D53" s="283">
        <v>341387</v>
      </c>
      <c r="E53" s="283">
        <v>682774</v>
      </c>
      <c r="F53" s="283">
        <f t="shared" si="0"/>
        <v>102416.09999999999</v>
      </c>
    </row>
    <row r="54" spans="2:6">
      <c r="C54" s="282"/>
      <c r="D54" s="283"/>
      <c r="E54" s="283"/>
      <c r="F54" s="299">
        <f>SUM(F48:F53)</f>
        <v>758036.1</v>
      </c>
    </row>
    <row r="55" spans="2:6">
      <c r="C55" s="282"/>
      <c r="D55" s="283"/>
      <c r="E55" s="283"/>
      <c r="F55" s="283"/>
    </row>
    <row r="56" spans="2:6">
      <c r="B56" t="s">
        <v>263</v>
      </c>
      <c r="C56" s="282">
        <v>8</v>
      </c>
      <c r="D56" s="283">
        <v>6700</v>
      </c>
      <c r="E56" s="283">
        <v>53600</v>
      </c>
      <c r="F56" s="283">
        <f t="shared" si="0"/>
        <v>8040</v>
      </c>
    </row>
    <row r="57" spans="2:6">
      <c r="B57" t="s">
        <v>234</v>
      </c>
      <c r="C57" s="282">
        <v>7</v>
      </c>
      <c r="D57" s="283">
        <v>2500</v>
      </c>
      <c r="E57" s="283">
        <v>17500</v>
      </c>
      <c r="F57" s="283">
        <f t="shared" si="0"/>
        <v>2625</v>
      </c>
    </row>
    <row r="58" spans="2:6">
      <c r="B58" t="s">
        <v>265</v>
      </c>
      <c r="C58" s="282">
        <v>6</v>
      </c>
      <c r="D58" s="283">
        <v>1350</v>
      </c>
      <c r="E58" s="283">
        <v>8100</v>
      </c>
      <c r="F58" s="283">
        <f t="shared" si="0"/>
        <v>1215</v>
      </c>
    </row>
    <row r="59" spans="2:6">
      <c r="B59" t="s">
        <v>266</v>
      </c>
      <c r="C59" s="282">
        <v>8</v>
      </c>
      <c r="D59" s="283">
        <v>2700</v>
      </c>
      <c r="E59" s="283">
        <v>21600</v>
      </c>
      <c r="F59" s="283">
        <f t="shared" si="0"/>
        <v>3240</v>
      </c>
    </row>
    <row r="60" spans="2:6">
      <c r="B60" t="s">
        <v>267</v>
      </c>
      <c r="C60" s="282">
        <v>13</v>
      </c>
      <c r="D60" s="283">
        <v>12000</v>
      </c>
      <c r="E60" s="283">
        <v>156000</v>
      </c>
      <c r="F60" s="283">
        <f t="shared" si="0"/>
        <v>23400</v>
      </c>
    </row>
    <row r="61" spans="2:6">
      <c r="B61" t="s">
        <v>268</v>
      </c>
      <c r="C61" s="282">
        <v>9</v>
      </c>
      <c r="D61" s="283">
        <v>6000</v>
      </c>
      <c r="E61" s="283">
        <v>54000</v>
      </c>
      <c r="F61" s="283">
        <f t="shared" si="0"/>
        <v>8100</v>
      </c>
    </row>
    <row r="62" spans="2:6">
      <c r="B62" t="s">
        <v>269</v>
      </c>
      <c r="C62" s="282">
        <v>7</v>
      </c>
      <c r="D62" s="283">
        <v>1650</v>
      </c>
      <c r="E62" s="283">
        <v>11550</v>
      </c>
      <c r="F62" s="283">
        <f t="shared" si="0"/>
        <v>1732.5</v>
      </c>
    </row>
    <row r="63" spans="2:6">
      <c r="B63" t="s">
        <v>270</v>
      </c>
      <c r="C63" s="282">
        <v>6</v>
      </c>
      <c r="D63" s="283">
        <v>9840</v>
      </c>
      <c r="E63" s="283">
        <v>59040</v>
      </c>
      <c r="F63" s="283">
        <f t="shared" si="0"/>
        <v>8856</v>
      </c>
    </row>
    <row r="64" spans="2:6">
      <c r="B64" t="s">
        <v>241</v>
      </c>
      <c r="C64" s="282">
        <v>8</v>
      </c>
      <c r="D64" s="283">
        <v>2500</v>
      </c>
      <c r="E64" s="283">
        <v>20000</v>
      </c>
      <c r="F64" s="283">
        <f t="shared" si="0"/>
        <v>3000</v>
      </c>
    </row>
    <row r="65" spans="2:7">
      <c r="B65" t="s">
        <v>272</v>
      </c>
      <c r="C65" s="282">
        <v>7</v>
      </c>
      <c r="D65" s="283">
        <v>800</v>
      </c>
      <c r="E65" s="283">
        <v>5600</v>
      </c>
      <c r="F65" s="283">
        <f t="shared" si="0"/>
        <v>840</v>
      </c>
    </row>
    <row r="66" spans="2:7">
      <c r="B66" t="s">
        <v>273</v>
      </c>
      <c r="C66" s="282">
        <v>5</v>
      </c>
      <c r="D66" s="283">
        <v>6150</v>
      </c>
      <c r="E66" s="283">
        <v>30750</v>
      </c>
      <c r="F66" s="283">
        <f t="shared" si="0"/>
        <v>4612.5</v>
      </c>
    </row>
    <row r="67" spans="2:7">
      <c r="B67" t="s">
        <v>274</v>
      </c>
      <c r="C67" s="282">
        <v>5</v>
      </c>
      <c r="D67" s="283">
        <v>21050</v>
      </c>
      <c r="E67" s="283">
        <v>105250</v>
      </c>
      <c r="F67" s="283">
        <f t="shared" si="0"/>
        <v>15787.5</v>
      </c>
    </row>
    <row r="68" spans="2:7">
      <c r="B68" t="s">
        <v>277</v>
      </c>
      <c r="C68" s="33">
        <v>5</v>
      </c>
      <c r="D68" s="283">
        <v>8500</v>
      </c>
      <c r="E68" s="283">
        <v>42500</v>
      </c>
      <c r="F68" s="283">
        <f t="shared" si="0"/>
        <v>6375</v>
      </c>
      <c r="G68" s="306"/>
    </row>
    <row r="69" spans="2:7">
      <c r="B69" t="s">
        <v>275</v>
      </c>
      <c r="C69" s="33">
        <v>5</v>
      </c>
      <c r="D69" s="283">
        <v>21900</v>
      </c>
      <c r="E69" s="283">
        <v>109500</v>
      </c>
      <c r="F69" s="283">
        <f t="shared" si="0"/>
        <v>16425</v>
      </c>
      <c r="G69" s="306"/>
    </row>
    <row r="70" spans="2:7">
      <c r="B70" t="s">
        <v>276</v>
      </c>
      <c r="C70" s="33">
        <v>5</v>
      </c>
      <c r="D70" s="283">
        <v>8090</v>
      </c>
      <c r="E70" s="283">
        <v>40450</v>
      </c>
      <c r="F70" s="283">
        <f t="shared" si="0"/>
        <v>6067.5</v>
      </c>
      <c r="G70" s="306"/>
    </row>
    <row r="71" spans="2:7">
      <c r="C71" s="282"/>
      <c r="D71" s="283"/>
      <c r="E71" s="283"/>
      <c r="F71" s="299">
        <f>SUM(F56:F70)</f>
        <v>110316</v>
      </c>
    </row>
    <row r="72" spans="2:7">
      <c r="C72" s="282"/>
      <c r="D72" s="283"/>
      <c r="E72" s="283"/>
      <c r="F72" s="283"/>
    </row>
    <row r="73" spans="2:7">
      <c r="C73" s="282"/>
      <c r="D73" s="283"/>
      <c r="E73" s="283"/>
      <c r="F73" s="283"/>
    </row>
    <row r="74" spans="2:7">
      <c r="B74" t="s">
        <v>245</v>
      </c>
      <c r="C74" s="282">
        <v>300</v>
      </c>
      <c r="D74" s="283">
        <v>485</v>
      </c>
      <c r="E74" s="283">
        <v>145500</v>
      </c>
      <c r="F74" s="283">
        <f t="shared" si="0"/>
        <v>21825</v>
      </c>
      <c r="G74" s="305"/>
    </row>
    <row r="75" spans="2:7">
      <c r="B75" t="s">
        <v>279</v>
      </c>
      <c r="C75" s="282">
        <v>300</v>
      </c>
      <c r="D75" s="283">
        <v>200</v>
      </c>
      <c r="E75" s="283">
        <v>60000</v>
      </c>
      <c r="F75" s="283">
        <f t="shared" si="0"/>
        <v>9000</v>
      </c>
      <c r="G75" s="305"/>
    </row>
    <row r="76" spans="2:7">
      <c r="B76" t="s">
        <v>280</v>
      </c>
      <c r="C76" s="282">
        <v>400</v>
      </c>
      <c r="D76" s="283">
        <v>300</v>
      </c>
      <c r="E76" s="283">
        <v>120000</v>
      </c>
      <c r="F76" s="283">
        <f t="shared" si="0"/>
        <v>18000</v>
      </c>
      <c r="G76" s="305"/>
    </row>
    <row r="77" spans="2:7">
      <c r="B77" t="s">
        <v>281</v>
      </c>
      <c r="C77" s="282">
        <v>300</v>
      </c>
      <c r="D77" s="283">
        <v>286</v>
      </c>
      <c r="E77" s="283">
        <v>85800</v>
      </c>
      <c r="F77" s="283">
        <f t="shared" si="0"/>
        <v>12870</v>
      </c>
      <c r="G77" s="305"/>
    </row>
    <row r="78" spans="2:7">
      <c r="B78" t="s">
        <v>372</v>
      </c>
      <c r="C78" s="282">
        <v>150</v>
      </c>
      <c r="D78" s="283">
        <v>406</v>
      </c>
      <c r="E78" s="283">
        <v>60900</v>
      </c>
      <c r="F78" s="283">
        <f t="shared" si="0"/>
        <v>9135</v>
      </c>
      <c r="G78" s="305"/>
    </row>
    <row r="79" spans="2:7">
      <c r="B79" t="s">
        <v>373</v>
      </c>
      <c r="C79" s="282">
        <v>150</v>
      </c>
      <c r="D79" s="283">
        <v>75</v>
      </c>
      <c r="E79" s="283">
        <v>11250</v>
      </c>
      <c r="F79" s="283">
        <f t="shared" si="0"/>
        <v>1687.5</v>
      </c>
      <c r="G79" s="305"/>
    </row>
    <row r="80" spans="2:7">
      <c r="B80" t="s">
        <v>284</v>
      </c>
      <c r="C80" s="282">
        <v>200</v>
      </c>
      <c r="D80" s="283">
        <v>515</v>
      </c>
      <c r="E80" s="283">
        <v>103000</v>
      </c>
      <c r="F80" s="283">
        <f t="shared" si="0"/>
        <v>15450</v>
      </c>
      <c r="G80" s="305"/>
    </row>
    <row r="81" spans="2:7">
      <c r="B81" t="s">
        <v>285</v>
      </c>
      <c r="C81" s="282">
        <v>400</v>
      </c>
      <c r="D81" s="283">
        <v>290</v>
      </c>
      <c r="E81" s="283">
        <v>116000</v>
      </c>
      <c r="F81" s="283">
        <f t="shared" si="0"/>
        <v>17400</v>
      </c>
      <c r="G81" s="305"/>
    </row>
    <row r="82" spans="2:7">
      <c r="B82" t="s">
        <v>286</v>
      </c>
      <c r="C82" s="282">
        <v>300</v>
      </c>
      <c r="D82" s="283">
        <v>225</v>
      </c>
      <c r="E82" s="283">
        <v>67500</v>
      </c>
      <c r="F82" s="283">
        <f t="shared" si="0"/>
        <v>10125</v>
      </c>
      <c r="G82" s="305"/>
    </row>
    <row r="83" spans="2:7">
      <c r="B83" t="s">
        <v>626</v>
      </c>
      <c r="C83" s="282">
        <v>20</v>
      </c>
      <c r="D83" s="283">
        <v>10000</v>
      </c>
      <c r="E83" s="283">
        <v>200000</v>
      </c>
      <c r="F83" s="283">
        <f t="shared" si="0"/>
        <v>30000</v>
      </c>
      <c r="G83" s="305"/>
    </row>
    <row r="84" spans="2:7">
      <c r="B84" t="s">
        <v>627</v>
      </c>
      <c r="C84" s="282">
        <v>20</v>
      </c>
      <c r="D84" s="283">
        <v>10000</v>
      </c>
      <c r="E84" s="283">
        <v>200000</v>
      </c>
      <c r="F84" s="283">
        <f t="shared" si="0"/>
        <v>30000</v>
      </c>
      <c r="G84" s="305"/>
    </row>
    <row r="85" spans="2:7">
      <c r="F85" s="299">
        <f>SUM(F74:F84)</f>
        <v>175492.5</v>
      </c>
    </row>
    <row r="87" spans="2:7">
      <c r="F87" s="299">
        <f>F54+F71+F85</f>
        <v>1043844.6</v>
      </c>
    </row>
  </sheetData>
  <protectedRanges>
    <protectedRange sqref="U19" name="Rango2_1"/>
  </protectedRanges>
  <mergeCells count="5">
    <mergeCell ref="B45:F45"/>
    <mergeCell ref="B46:B47"/>
    <mergeCell ref="C46:C47"/>
    <mergeCell ref="D46:D47"/>
    <mergeCell ref="E46:E47"/>
  </mergeCells>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pageSetUpPr fitToPage="1"/>
  </sheetPr>
  <dimension ref="A1:AD100"/>
  <sheetViews>
    <sheetView showGridLines="0" view="pageBreakPreview" zoomScale="120" zoomScaleNormal="100" zoomScaleSheetLayoutView="120" workbookViewId="0">
      <selection activeCell="D4" sqref="D4"/>
    </sheetView>
  </sheetViews>
  <sheetFormatPr defaultColWidth="11.42578125" defaultRowHeight="14.45"/>
  <cols>
    <col min="1" max="1" width="9.42578125" style="37" customWidth="1"/>
    <col min="2" max="2" width="58.42578125" style="37" customWidth="1"/>
    <col min="3" max="3" width="15.42578125" style="37" bestFit="1" customWidth="1"/>
    <col min="4" max="4" width="13.42578125" style="37" bestFit="1" customWidth="1"/>
    <col min="5" max="30" width="11.42578125" style="37"/>
    <col min="31" max="31" width="11.42578125" style="37" customWidth="1"/>
    <col min="32" max="16384" width="11.42578125" style="37"/>
  </cols>
  <sheetData>
    <row r="1" spans="1:30" s="70" customFormat="1" ht="15" customHeight="1">
      <c r="A1" s="422" t="s">
        <v>628</v>
      </c>
      <c r="B1" s="422"/>
      <c r="C1" s="422"/>
      <c r="D1" s="37"/>
      <c r="E1" s="37"/>
      <c r="F1" s="69"/>
      <c r="G1" s="69"/>
      <c r="H1" s="69"/>
      <c r="I1" s="69"/>
      <c r="J1" s="69"/>
      <c r="K1" s="69"/>
      <c r="L1" s="69"/>
      <c r="M1" s="69"/>
      <c r="N1" s="69"/>
      <c r="O1" s="69"/>
      <c r="P1" s="69"/>
      <c r="Q1" s="69"/>
      <c r="R1" s="69"/>
      <c r="S1" s="69"/>
      <c r="T1" s="69"/>
      <c r="U1" s="69"/>
      <c r="V1" s="69"/>
      <c r="W1" s="69"/>
      <c r="X1" s="69"/>
      <c r="Y1" s="69"/>
      <c r="Z1" s="69"/>
      <c r="AA1" s="69"/>
      <c r="AB1" s="69"/>
      <c r="AC1" s="69"/>
      <c r="AD1" s="69"/>
    </row>
    <row r="2" spans="1:30" s="76" customFormat="1" ht="12.95">
      <c r="A2" s="71"/>
      <c r="B2" s="72" t="s">
        <v>629</v>
      </c>
      <c r="C2" s="73" t="s">
        <v>630</v>
      </c>
      <c r="D2" s="74"/>
      <c r="E2" s="74"/>
      <c r="F2" s="75"/>
      <c r="G2" s="75"/>
      <c r="H2" s="75"/>
      <c r="I2" s="75"/>
      <c r="J2" s="75"/>
      <c r="K2" s="75"/>
      <c r="L2" s="75"/>
      <c r="M2" s="75"/>
      <c r="N2" s="75"/>
      <c r="O2" s="75"/>
      <c r="P2" s="75"/>
      <c r="Q2" s="75"/>
      <c r="R2" s="75"/>
      <c r="S2" s="75"/>
      <c r="T2" s="75"/>
      <c r="U2" s="75"/>
      <c r="V2" s="75"/>
      <c r="W2" s="75"/>
      <c r="X2" s="75"/>
      <c r="Y2" s="75"/>
      <c r="Z2" s="75"/>
      <c r="AA2" s="75"/>
      <c r="AB2" s="75"/>
      <c r="AC2" s="75"/>
      <c r="AD2" s="75"/>
    </row>
    <row r="3" spans="1:30" s="80" customFormat="1" ht="12.95">
      <c r="A3" s="423"/>
      <c r="B3" s="424"/>
      <c r="C3" s="77">
        <f>C4+C19+C27+C43+C44</f>
        <v>119914183.84239134</v>
      </c>
      <c r="D3" s="78">
        <f>C3-C4-C19-C27-C43-C44</f>
        <v>0</v>
      </c>
      <c r="E3" s="79"/>
      <c r="F3" s="79"/>
      <c r="G3" s="79"/>
      <c r="H3" s="79"/>
      <c r="I3" s="79"/>
      <c r="J3" s="79"/>
      <c r="K3" s="79"/>
      <c r="L3" s="79"/>
      <c r="M3" s="79"/>
      <c r="N3" s="79"/>
      <c r="O3" s="79"/>
      <c r="P3" s="79"/>
      <c r="Q3" s="79"/>
      <c r="R3" s="79"/>
      <c r="S3" s="79"/>
      <c r="T3" s="79"/>
      <c r="U3" s="79"/>
      <c r="V3" s="79"/>
      <c r="W3" s="79"/>
      <c r="X3" s="79"/>
      <c r="Y3" s="79"/>
      <c r="Z3" s="79"/>
      <c r="AA3" s="79"/>
    </row>
    <row r="4" spans="1:30" s="84" customFormat="1" ht="45" customHeight="1" collapsed="1">
      <c r="A4" s="425" t="s">
        <v>631</v>
      </c>
      <c r="B4" s="425"/>
      <c r="C4" s="81">
        <f>C5+C12</f>
        <v>110958142.93572468</v>
      </c>
      <c r="D4" s="82">
        <f>C4-C12-C5</f>
        <v>0</v>
      </c>
      <c r="E4" s="83"/>
      <c r="F4" s="83"/>
      <c r="G4" s="83"/>
      <c r="H4" s="83"/>
      <c r="I4" s="83"/>
      <c r="J4" s="83"/>
      <c r="K4" s="83"/>
      <c r="L4" s="83"/>
      <c r="M4" s="83"/>
      <c r="N4" s="83"/>
      <c r="O4" s="83"/>
      <c r="P4" s="83"/>
      <c r="Q4" s="83"/>
      <c r="R4" s="83"/>
      <c r="S4" s="83"/>
      <c r="T4" s="83"/>
      <c r="U4" s="83"/>
      <c r="V4" s="83"/>
      <c r="W4" s="83"/>
      <c r="X4" s="83"/>
      <c r="Y4" s="83"/>
      <c r="Z4" s="83"/>
      <c r="AA4" s="83"/>
    </row>
    <row r="5" spans="1:30" s="84" customFormat="1" ht="45" customHeight="1">
      <c r="A5" s="85" t="str">
        <f>MID('[1]1.Detailed budget'!C3,1,4)</f>
        <v xml:space="preserve">1.1 </v>
      </c>
      <c r="B5" s="86" t="str">
        <f>MID('[1]1.Detailed budget'!C3,5,200)</f>
        <v>Restore approximately 15,544 ha of farmland from marabu, and increase CC-resilience through sustainable agroforestry (AF), CTNPFs and assisted natural regeneration (mitigation co-benefit 417,532 milli</v>
      </c>
      <c r="C5" s="81">
        <f>SUM(C6:C11)</f>
        <v>59353984.198970594</v>
      </c>
      <c r="D5" s="82">
        <f>C5-SUM(C6:C11)</f>
        <v>0</v>
      </c>
      <c r="E5" s="83"/>
      <c r="F5" s="83"/>
      <c r="G5" s="83"/>
      <c r="H5" s="83"/>
      <c r="I5" s="83"/>
      <c r="J5" s="83"/>
      <c r="K5" s="83"/>
      <c r="L5" s="83"/>
      <c r="M5" s="83"/>
      <c r="N5" s="83"/>
      <c r="O5" s="83"/>
      <c r="P5" s="83"/>
      <c r="Q5" s="83"/>
      <c r="R5" s="83"/>
      <c r="S5" s="83"/>
      <c r="T5" s="83"/>
      <c r="U5" s="83"/>
      <c r="V5" s="83"/>
      <c r="W5" s="83"/>
      <c r="X5" s="83"/>
      <c r="Y5" s="83"/>
      <c r="Z5" s="83"/>
      <c r="AA5" s="83"/>
    </row>
    <row r="6" spans="1:30" s="70" customFormat="1" ht="12.95">
      <c r="A6" s="87" t="str">
        <f>MID('[1]1.Detailed budget'!D3,1,7)</f>
        <v xml:space="preserve">1.1.1: </v>
      </c>
      <c r="B6" s="88" t="str">
        <f>MID('[1]1.Detailed budget'!D3,7,200)</f>
        <v xml:space="preserve"> Procure identified technologies and equipment</v>
      </c>
      <c r="C6" s="89">
        <f>SUM('1.Detailed budget'!O3:O10)</f>
        <v>11590342.993948806</v>
      </c>
      <c r="D6" s="69"/>
      <c r="E6" s="69"/>
      <c r="F6" s="69"/>
      <c r="G6" s="69"/>
      <c r="H6" s="69"/>
      <c r="I6" s="69"/>
      <c r="J6" s="69"/>
      <c r="K6" s="69"/>
      <c r="L6" s="69"/>
      <c r="M6" s="69"/>
      <c r="N6" s="69"/>
      <c r="O6" s="69"/>
      <c r="P6" s="69"/>
      <c r="Q6" s="69"/>
      <c r="R6" s="69"/>
      <c r="S6" s="69"/>
      <c r="T6" s="69"/>
      <c r="U6" s="69"/>
      <c r="V6" s="69"/>
      <c r="W6" s="69"/>
      <c r="X6" s="69"/>
      <c r="Y6" s="69"/>
      <c r="Z6" s="69"/>
      <c r="AA6" s="69"/>
    </row>
    <row r="7" spans="1:30" s="70" customFormat="1" ht="12.95">
      <c r="A7" s="87" t="str">
        <f>MID('[1]1.Detailed budget'!D5,1,7)</f>
        <v xml:space="preserve">1.1.2: </v>
      </c>
      <c r="B7" s="88" t="str">
        <f>MID('[1]1.Detailed budget'!D5,7,200)</f>
        <v xml:space="preserve"> Develop training materials for operations and maintenance</v>
      </c>
      <c r="C7" s="89">
        <f>SUM('1.Detailed budget'!O11:O12)</f>
        <v>21500</v>
      </c>
      <c r="D7" s="69"/>
      <c r="E7" s="69"/>
      <c r="F7" s="69"/>
      <c r="G7" s="69"/>
      <c r="H7" s="69"/>
      <c r="I7" s="69"/>
      <c r="J7" s="69"/>
      <c r="K7" s="69"/>
      <c r="L7" s="69"/>
      <c r="M7" s="69"/>
      <c r="N7" s="69"/>
      <c r="O7" s="69"/>
      <c r="P7" s="69"/>
      <c r="Q7" s="69"/>
      <c r="R7" s="69"/>
      <c r="S7" s="69"/>
      <c r="T7" s="69"/>
      <c r="U7" s="69"/>
      <c r="V7" s="69"/>
      <c r="W7" s="69"/>
      <c r="X7" s="69"/>
      <c r="Y7" s="69"/>
      <c r="Z7" s="69"/>
      <c r="AA7" s="69"/>
    </row>
    <row r="8" spans="1:30" s="70" customFormat="1" ht="12.95">
      <c r="A8" s="87" t="str">
        <f>MID('[1]1.Detailed budget'!D6,1,7)</f>
        <v xml:space="preserve">1.1.3: </v>
      </c>
      <c r="B8" s="88" t="str">
        <f>MID('[1]1.Detailed budget'!D6,7,200)</f>
        <v xml:space="preserve"> Train 74 machinery operators</v>
      </c>
      <c r="C8" s="89">
        <f>'1.Detailed budget'!O13</f>
        <v>14000</v>
      </c>
      <c r="D8" s="69"/>
      <c r="E8" s="69"/>
      <c r="F8" s="69"/>
      <c r="G8" s="69"/>
      <c r="H8" s="69"/>
      <c r="I8" s="69"/>
      <c r="J8" s="69"/>
      <c r="K8" s="69"/>
      <c r="L8" s="69"/>
      <c r="M8" s="69"/>
      <c r="N8" s="69"/>
      <c r="O8" s="69"/>
      <c r="P8" s="69"/>
      <c r="Q8" s="69"/>
      <c r="R8" s="69"/>
      <c r="S8" s="69"/>
      <c r="T8" s="69"/>
      <c r="U8" s="69"/>
      <c r="V8" s="69"/>
      <c r="W8" s="69"/>
      <c r="X8" s="69"/>
      <c r="Y8" s="69"/>
      <c r="Z8" s="69"/>
      <c r="AA8" s="69"/>
    </row>
    <row r="9" spans="1:30" s="70" customFormat="1" ht="12.95">
      <c r="A9" s="87" t="str">
        <f>MID('[1]1.Detailed budget'!D7,1,7)</f>
        <v xml:space="preserve">1.1.4: </v>
      </c>
      <c r="B9" s="88" t="str">
        <f>MID('[1]1.Detailed budget'!D7,7,200)</f>
        <v xml:space="preserve"> Apply technologies to marabu eradication on 15,544 ha </v>
      </c>
      <c r="C9" s="89">
        <f>'1.Detailed budget'!O14</f>
        <v>18538741.987146016</v>
      </c>
      <c r="D9" s="69"/>
      <c r="E9" s="69"/>
      <c r="F9" s="69"/>
      <c r="G9" s="69"/>
      <c r="H9" s="69"/>
      <c r="I9" s="69"/>
      <c r="J9" s="69"/>
      <c r="K9" s="69"/>
      <c r="L9" s="69"/>
      <c r="M9" s="69"/>
      <c r="N9" s="69"/>
      <c r="O9" s="69"/>
      <c r="P9" s="69"/>
      <c r="Q9" s="69"/>
      <c r="R9" s="69"/>
      <c r="S9" s="69"/>
      <c r="T9" s="69"/>
      <c r="U9" s="69"/>
      <c r="V9" s="69"/>
      <c r="W9" s="69"/>
      <c r="X9" s="69"/>
      <c r="Y9" s="69"/>
      <c r="Z9" s="69"/>
      <c r="AA9" s="69"/>
    </row>
    <row r="10" spans="1:30" s="70" customFormat="1" ht="21" customHeight="1">
      <c r="A10" s="87" t="str">
        <f>MID('[1]1.Detailed budget'!D9,1,7)</f>
        <v xml:space="preserve">1.1.5: </v>
      </c>
      <c r="B10" s="88" t="str">
        <f>MID('[1]1.Detailed budget'!D9,7,200)</f>
        <v xml:space="preserve"> Construct 896 water security systems (storage facilities and irrigation)</v>
      </c>
      <c r="C10" s="89">
        <f>'1.Detailed budget'!O15</f>
        <v>8887377.5999999996</v>
      </c>
      <c r="D10" s="69"/>
      <c r="E10" s="69"/>
      <c r="F10" s="69"/>
      <c r="G10" s="69"/>
      <c r="H10" s="69"/>
      <c r="I10" s="69"/>
      <c r="J10" s="69"/>
      <c r="K10" s="69"/>
      <c r="L10" s="69"/>
      <c r="M10" s="69"/>
      <c r="N10" s="69"/>
      <c r="O10" s="69"/>
      <c r="P10" s="69"/>
      <c r="Q10" s="69"/>
      <c r="R10" s="69"/>
      <c r="S10" s="69"/>
      <c r="T10" s="69"/>
      <c r="U10" s="69"/>
      <c r="V10" s="69"/>
      <c r="W10" s="69"/>
      <c r="X10" s="69"/>
      <c r="Y10" s="69"/>
      <c r="Z10" s="69"/>
      <c r="AA10" s="69"/>
    </row>
    <row r="11" spans="1:30" s="70" customFormat="1" ht="21">
      <c r="A11" s="87" t="str">
        <f>MID('[1]1.Detailed budget'!D10,1,7)</f>
        <v xml:space="preserve">1.1.6: </v>
      </c>
      <c r="B11" s="88" t="str">
        <f>MID('[1]1.Detailed budget'!D10,7,200)</f>
        <v xml:space="preserve"> Establish and implement agroforestry, reforestation and assisted natural regeneration modules </v>
      </c>
      <c r="C11" s="89">
        <f>SUM('1.Detailed budget'!O16:O19)</f>
        <v>20302021.61787577</v>
      </c>
      <c r="D11" s="69"/>
      <c r="E11" s="69"/>
      <c r="F11" s="69"/>
      <c r="G11" s="69"/>
      <c r="H11" s="69"/>
      <c r="I11" s="69"/>
      <c r="J11" s="69"/>
      <c r="K11" s="69"/>
      <c r="L11" s="69"/>
      <c r="M11" s="69"/>
      <c r="N11" s="69"/>
      <c r="O11" s="69"/>
      <c r="P11" s="69"/>
      <c r="Q11" s="69"/>
      <c r="R11" s="69"/>
      <c r="S11" s="69"/>
      <c r="T11" s="69"/>
      <c r="U11" s="69"/>
      <c r="V11" s="69"/>
      <c r="W11" s="69"/>
      <c r="X11" s="69"/>
      <c r="Y11" s="69"/>
      <c r="Z11" s="69"/>
      <c r="AA11" s="69"/>
    </row>
    <row r="12" spans="1:30" s="70" customFormat="1" ht="31.5">
      <c r="A12" s="85" t="str">
        <f>MID('[1]1.Detailed budget'!C20,1,4)</f>
        <v xml:space="preserve">1.2 </v>
      </c>
      <c r="B12" s="86" t="str">
        <f>MID('[1]1.Detailed budget'!C20,5,200)</f>
        <v>Restore approximately 20,189 ha of rangeland with compacted soils and increase CC-resilience through improved sylvopastoral systems (mitigation net co-benefit 703,225.3 million t CO2eq in 7 years of i</v>
      </c>
      <c r="C12" s="81">
        <f>SUM(C13:C18)</f>
        <v>51604158.73675409</v>
      </c>
      <c r="D12" s="90">
        <f>C12-SUM(C13:C18)</f>
        <v>0</v>
      </c>
      <c r="E12" s="69"/>
      <c r="F12" s="69"/>
      <c r="G12" s="69"/>
      <c r="H12" s="69"/>
      <c r="I12" s="69"/>
      <c r="J12" s="69"/>
      <c r="K12" s="69"/>
      <c r="L12" s="69"/>
      <c r="M12" s="69"/>
      <c r="N12" s="69"/>
      <c r="O12" s="69"/>
      <c r="P12" s="69"/>
      <c r="Q12" s="69"/>
      <c r="R12" s="69"/>
      <c r="S12" s="69"/>
      <c r="T12" s="69"/>
      <c r="U12" s="69"/>
      <c r="V12" s="69"/>
      <c r="W12" s="69"/>
      <c r="X12" s="69"/>
      <c r="Y12" s="69"/>
      <c r="Z12" s="69"/>
      <c r="AA12" s="69"/>
    </row>
    <row r="13" spans="1:30" s="70" customFormat="1" ht="12.95">
      <c r="A13" s="87" t="str">
        <f>MID('[1]1.Detailed budget'!D20,1,7)</f>
        <v xml:space="preserve">1.2.1: </v>
      </c>
      <c r="B13" s="88" t="str">
        <f>MID('[1]1.Detailed budget'!D20,7,200)</f>
        <v xml:space="preserve"> Procure and field identified technologies and equipment</v>
      </c>
      <c r="C13" s="89">
        <f>SUM('1.Detailed budget'!O20:O26)</f>
        <v>10388696.535051195</v>
      </c>
      <c r="D13" s="69"/>
      <c r="E13" s="69"/>
      <c r="F13" s="69"/>
      <c r="G13" s="69"/>
      <c r="H13" s="69"/>
      <c r="I13" s="69"/>
      <c r="J13" s="69"/>
      <c r="K13" s="69"/>
      <c r="L13" s="69"/>
      <c r="M13" s="69"/>
      <c r="N13" s="69"/>
      <c r="O13" s="69"/>
      <c r="P13" s="69"/>
      <c r="Q13" s="69"/>
      <c r="R13" s="69"/>
      <c r="S13" s="69"/>
      <c r="T13" s="69"/>
      <c r="U13" s="69"/>
      <c r="V13" s="69"/>
      <c r="W13" s="69"/>
      <c r="X13" s="69"/>
      <c r="Y13" s="69"/>
      <c r="Z13" s="69"/>
      <c r="AA13" s="69"/>
    </row>
    <row r="14" spans="1:30" s="70" customFormat="1" ht="12.95">
      <c r="A14" s="87" t="str">
        <f>MID('[1]1.Detailed budget'!D22,1,7)</f>
        <v xml:space="preserve">1.2.2: </v>
      </c>
      <c r="B14" s="88" t="str">
        <f>MID('[1]1.Detailed budget'!D22,7,200)</f>
        <v xml:space="preserve"> Develop training materials </v>
      </c>
      <c r="C14" s="89">
        <f>SUM('1.Detailed budget'!O27:O28)</f>
        <v>21500</v>
      </c>
      <c r="D14" s="69"/>
      <c r="E14" s="69"/>
      <c r="F14" s="69"/>
      <c r="G14" s="69"/>
      <c r="H14" s="69"/>
      <c r="I14" s="69"/>
      <c r="J14" s="69"/>
      <c r="K14" s="69"/>
      <c r="L14" s="69"/>
      <c r="M14" s="69"/>
      <c r="N14" s="69"/>
      <c r="O14" s="69"/>
      <c r="P14" s="69"/>
      <c r="Q14" s="69"/>
      <c r="R14" s="69"/>
      <c r="S14" s="69"/>
      <c r="T14" s="69"/>
      <c r="U14" s="69"/>
      <c r="V14" s="69"/>
      <c r="W14" s="69"/>
      <c r="X14" s="69"/>
      <c r="Y14" s="69"/>
      <c r="Z14" s="69"/>
      <c r="AA14" s="69"/>
    </row>
    <row r="15" spans="1:30" s="70" customFormat="1" ht="12.95">
      <c r="A15" s="87" t="str">
        <f>MID('[1]1.Detailed budget'!D23,1,7)</f>
        <v xml:space="preserve">1.2.3: </v>
      </c>
      <c r="B15" s="88" t="str">
        <f>MID('[1]1.Detailed budget'!D23,7,200)</f>
        <v xml:space="preserve"> Train 68 machinery operators  </v>
      </c>
      <c r="C15" s="89">
        <f>'1.Detailed budget'!O29</f>
        <v>14000</v>
      </c>
      <c r="D15" s="69"/>
      <c r="E15" s="69"/>
      <c r="F15" s="69"/>
      <c r="G15" s="69"/>
      <c r="H15" s="69"/>
      <c r="I15" s="69"/>
      <c r="J15" s="69"/>
      <c r="K15" s="69"/>
      <c r="L15" s="69"/>
      <c r="M15" s="69"/>
      <c r="N15" s="69"/>
      <c r="O15" s="69"/>
      <c r="P15" s="69"/>
      <c r="Q15" s="69"/>
      <c r="R15" s="69"/>
      <c r="S15" s="69"/>
      <c r="T15" s="69"/>
      <c r="U15" s="69"/>
      <c r="V15" s="69"/>
      <c r="W15" s="69"/>
      <c r="X15" s="69"/>
      <c r="Y15" s="69"/>
      <c r="Z15" s="69"/>
      <c r="AA15" s="69"/>
    </row>
    <row r="16" spans="1:30" s="70" customFormat="1" ht="12.95">
      <c r="A16" s="87" t="str">
        <f>MID('[1]1.Detailed budget'!D24,1,7)</f>
        <v xml:space="preserve">1.2.4: </v>
      </c>
      <c r="B16" s="88" t="str">
        <f>MID('[1]1.Detailed budget'!D24,7,200)</f>
        <v xml:space="preserve"> Implement sub-soiling of 20,189 hectares of compacted rangeland</v>
      </c>
      <c r="C16" s="89">
        <f>'1.Detailed budget'!O30</f>
        <v>20638849.826032512</v>
      </c>
      <c r="D16" s="69"/>
      <c r="E16" s="69"/>
      <c r="F16" s="69"/>
      <c r="G16" s="69"/>
      <c r="H16" s="69"/>
      <c r="I16" s="69"/>
      <c r="J16" s="69"/>
      <c r="K16" s="69"/>
      <c r="L16" s="69"/>
      <c r="M16" s="69"/>
      <c r="N16" s="69"/>
      <c r="O16" s="69"/>
      <c r="P16" s="69"/>
      <c r="Q16" s="69"/>
      <c r="R16" s="69"/>
      <c r="S16" s="69"/>
      <c r="T16" s="69"/>
      <c r="U16" s="69"/>
      <c r="V16" s="69"/>
      <c r="W16" s="69"/>
      <c r="X16" s="69"/>
      <c r="Y16" s="69"/>
      <c r="Z16" s="69"/>
      <c r="AA16" s="69"/>
    </row>
    <row r="17" spans="1:27" s="70" customFormat="1" ht="12.95">
      <c r="A17" s="87" t="str">
        <f>MID('[1]1.Detailed budget'!D25,1,7)</f>
        <v xml:space="preserve">1.2.5: </v>
      </c>
      <c r="B17" s="88" t="str">
        <f>MID('[1]1.Detailed budget'!D25,7,200)</f>
        <v xml:space="preserve"> Construct 11,362 small-scale water security systems (storage and livestock drinking facilities)</v>
      </c>
      <c r="C17" s="89">
        <f>'1.Detailed budget'!O31</f>
        <v>3726925</v>
      </c>
      <c r="D17" s="69"/>
      <c r="E17" s="69"/>
      <c r="F17" s="69"/>
      <c r="G17" s="69"/>
      <c r="H17" s="69"/>
      <c r="I17" s="69"/>
      <c r="J17" s="69"/>
      <c r="K17" s="69"/>
      <c r="L17" s="69"/>
      <c r="M17" s="69"/>
      <c r="N17" s="69"/>
      <c r="O17" s="69"/>
      <c r="P17" s="69"/>
      <c r="Q17" s="69"/>
      <c r="R17" s="69"/>
      <c r="S17" s="69"/>
      <c r="T17" s="69"/>
      <c r="U17" s="69"/>
      <c r="V17" s="69"/>
      <c r="W17" s="69"/>
      <c r="X17" s="69"/>
      <c r="Y17" s="69"/>
      <c r="Z17" s="69"/>
      <c r="AA17" s="69"/>
    </row>
    <row r="18" spans="1:27" s="70" customFormat="1" ht="12.95">
      <c r="A18" s="87" t="str">
        <f>MID('[1]1.Detailed budget'!D26,1,7)</f>
        <v xml:space="preserve">1.2.6: </v>
      </c>
      <c r="B18" s="88" t="str">
        <f>MID('[1]1.Detailed budget'!D26,7,200)</f>
        <v xml:space="preserve"> Establish and implement sylvopastoral modules, including improved grazing systems </v>
      </c>
      <c r="C18" s="89">
        <f>SUM('1.Detailed budget'!O32:O34)</f>
        <v>16814187.375670381</v>
      </c>
      <c r="D18" s="69"/>
      <c r="E18" s="69"/>
      <c r="F18" s="69"/>
      <c r="G18" s="69"/>
      <c r="H18" s="69"/>
      <c r="I18" s="69"/>
      <c r="J18" s="69"/>
      <c r="K18" s="69"/>
      <c r="L18" s="69"/>
      <c r="M18" s="69"/>
      <c r="N18" s="69"/>
      <c r="O18" s="69"/>
      <c r="P18" s="69"/>
      <c r="Q18" s="69"/>
      <c r="R18" s="69"/>
      <c r="S18" s="69"/>
      <c r="T18" s="69"/>
      <c r="U18" s="69"/>
      <c r="V18" s="69"/>
      <c r="W18" s="69"/>
      <c r="X18" s="69"/>
      <c r="Y18" s="69"/>
      <c r="Z18" s="69"/>
      <c r="AA18" s="69"/>
    </row>
    <row r="19" spans="1:27" s="70" customFormat="1" ht="50.25" customHeight="1">
      <c r="A19" s="425" t="s">
        <v>632</v>
      </c>
      <c r="B19" s="425"/>
      <c r="C19" s="81">
        <f>C20+C24</f>
        <v>826870</v>
      </c>
      <c r="D19" s="90">
        <f>C19-C20-C24</f>
        <v>0</v>
      </c>
      <c r="E19" s="69"/>
      <c r="F19" s="69"/>
      <c r="G19" s="69"/>
      <c r="H19" s="69"/>
      <c r="I19" s="69"/>
      <c r="J19" s="69"/>
      <c r="K19" s="69"/>
      <c r="L19" s="69"/>
      <c r="M19" s="69"/>
      <c r="N19" s="69"/>
      <c r="O19" s="69"/>
      <c r="P19" s="69"/>
      <c r="Q19" s="69"/>
      <c r="R19" s="69"/>
      <c r="S19" s="69"/>
      <c r="T19" s="69"/>
      <c r="U19" s="69"/>
      <c r="V19" s="69"/>
      <c r="W19" s="69"/>
      <c r="X19" s="69"/>
      <c r="Y19" s="69"/>
      <c r="Z19" s="69"/>
      <c r="AA19" s="69"/>
    </row>
    <row r="20" spans="1:27" s="70" customFormat="1" ht="31.5">
      <c r="A20" s="85" t="str">
        <f>MID('[1]1.Detailed budget'!C36,1,4)</f>
        <v xml:space="preserve">2.1 </v>
      </c>
      <c r="B20" s="86" t="str">
        <f>MID('[1]1.Detailed budget'!C36,5,200)</f>
        <v>Increase institutional capacities to support farmers and producers’ organizations to establish and maintain agroforestry, sylvopastoral and forestry systems for improved ecosystem services</v>
      </c>
      <c r="C20" s="81">
        <f>SUM(C21:C23)</f>
        <v>108000</v>
      </c>
      <c r="D20" s="90">
        <f>C20-SUM(C21:C23)</f>
        <v>0</v>
      </c>
      <c r="E20" s="69"/>
      <c r="F20" s="69"/>
      <c r="G20" s="69"/>
      <c r="H20" s="69"/>
      <c r="I20" s="69"/>
      <c r="J20" s="69"/>
      <c r="K20" s="69"/>
      <c r="L20" s="69"/>
      <c r="M20" s="69"/>
      <c r="N20" s="69"/>
      <c r="O20" s="69"/>
      <c r="P20" s="69"/>
      <c r="Q20" s="69"/>
      <c r="R20" s="69"/>
      <c r="S20" s="69"/>
      <c r="T20" s="69"/>
      <c r="U20" s="69"/>
      <c r="V20" s="69"/>
      <c r="W20" s="69"/>
      <c r="X20" s="69"/>
      <c r="Y20" s="69"/>
      <c r="Z20" s="69"/>
      <c r="AA20" s="69"/>
    </row>
    <row r="21" spans="1:27" s="70" customFormat="1" ht="12.95">
      <c r="A21" s="87" t="str">
        <f>MID('[1]1.Detailed budget'!D36,1,7)</f>
        <v xml:space="preserve">2.1.1: </v>
      </c>
      <c r="B21" s="88" t="str">
        <f>MID('[1]1.Detailed budget'!D36,7,200)</f>
        <v xml:space="preserve"> Develop training   materials for use by trainers of extensionists</v>
      </c>
      <c r="C21" s="89">
        <f>'1.Detailed budget'!O36</f>
        <v>18000</v>
      </c>
      <c r="D21" s="69"/>
      <c r="E21" s="69"/>
      <c r="F21" s="69"/>
      <c r="G21" s="69"/>
      <c r="H21" s="69"/>
      <c r="I21" s="69"/>
      <c r="J21" s="69"/>
      <c r="K21" s="69"/>
      <c r="L21" s="69"/>
      <c r="M21" s="69"/>
      <c r="N21" s="69"/>
      <c r="O21" s="69"/>
      <c r="P21" s="69"/>
      <c r="Q21" s="69"/>
      <c r="R21" s="69"/>
      <c r="S21" s="69"/>
      <c r="T21" s="69"/>
      <c r="U21" s="69"/>
      <c r="V21" s="69"/>
      <c r="W21" s="69"/>
      <c r="X21" s="69"/>
      <c r="Y21" s="69"/>
      <c r="Z21" s="69"/>
      <c r="AA21" s="69"/>
    </row>
    <row r="22" spans="1:27" s="70" customFormat="1" ht="31.5">
      <c r="A22" s="87" t="str">
        <f>MID('[1]1.Detailed budget'!D37,1,7)</f>
        <v xml:space="preserve">2.1.2: </v>
      </c>
      <c r="B22" s="88" t="str">
        <f>MID('[1]1.Detailed budget'!D37,7,200)</f>
        <v xml:space="preserve"> Train 443 extension service technicians, agricultural technicians, and cooperative leaders   to lead  farmers in gender and age-sensitive learning-by-doing regarding the implementation, operations an</v>
      </c>
      <c r="C22" s="89">
        <f>'1.Detailed budget'!O37</f>
        <v>50000</v>
      </c>
      <c r="D22" s="69"/>
      <c r="E22" s="69"/>
      <c r="F22" s="69"/>
      <c r="G22" s="69"/>
      <c r="H22" s="69"/>
      <c r="I22" s="69"/>
      <c r="J22" s="69"/>
      <c r="K22" s="69"/>
      <c r="L22" s="69"/>
      <c r="M22" s="69"/>
      <c r="N22" s="69"/>
      <c r="O22" s="69"/>
      <c r="P22" s="69"/>
      <c r="Q22" s="69"/>
      <c r="R22" s="69"/>
      <c r="S22" s="69"/>
      <c r="T22" s="69"/>
      <c r="U22" s="69"/>
      <c r="V22" s="69"/>
      <c r="W22" s="69"/>
      <c r="X22" s="69"/>
      <c r="Y22" s="69"/>
      <c r="Z22" s="69"/>
      <c r="AA22" s="69"/>
    </row>
    <row r="23" spans="1:27" s="70" customFormat="1" ht="21">
      <c r="A23" s="87" t="str">
        <f>MID('[1]1.Detailed budget'!D38,1,7)</f>
        <v xml:space="preserve">2.1.3: </v>
      </c>
      <c r="B23" s="88" t="str">
        <f>MID('[1]1.Detailed budget'!D38,7,200)</f>
        <v xml:space="preserve"> Development of supplementary learning materials and information on CC, ecosystem function and services, agroecology, agroforestry and forestry systems, and farm economics;</v>
      </c>
      <c r="C23" s="89">
        <f>'1.Detailed budget'!O38</f>
        <v>40000</v>
      </c>
      <c r="D23" s="69"/>
      <c r="E23" s="69"/>
      <c r="F23" s="69"/>
      <c r="G23" s="69"/>
      <c r="H23" s="69"/>
      <c r="I23" s="69"/>
      <c r="J23" s="69"/>
      <c r="K23" s="69"/>
      <c r="L23" s="69"/>
      <c r="M23" s="69"/>
      <c r="N23" s="69"/>
      <c r="O23" s="69"/>
      <c r="P23" s="69"/>
      <c r="Q23" s="69"/>
      <c r="R23" s="69"/>
      <c r="S23" s="69"/>
      <c r="T23" s="69"/>
      <c r="U23" s="69"/>
      <c r="V23" s="69"/>
      <c r="W23" s="69"/>
      <c r="X23" s="69"/>
      <c r="Y23" s="69"/>
      <c r="Z23" s="69"/>
      <c r="AA23" s="69"/>
    </row>
    <row r="24" spans="1:27" s="70" customFormat="1" ht="42">
      <c r="A24" s="85" t="str">
        <f>MID('[1]1.Detailed budget'!C39,1,4)</f>
        <v xml:space="preserve">2.2 </v>
      </c>
      <c r="B24" s="86" t="str">
        <f>MID('[1]1.Detailed budget'!C39,5,180)</f>
        <v xml:space="preserve">Train agricultural producers to collectively revitalize and manage production landscapes for gender-equitable climate-resilient agriculture and ecosystem services
</v>
      </c>
      <c r="C24" s="81">
        <f>SUM(C25:C26)</f>
        <v>718870</v>
      </c>
      <c r="D24" s="90">
        <f>C24-SUM(C25:C26)</f>
        <v>0</v>
      </c>
      <c r="E24" s="69"/>
      <c r="F24" s="69"/>
      <c r="G24" s="69"/>
      <c r="H24" s="69"/>
      <c r="I24" s="69"/>
      <c r="J24" s="69"/>
      <c r="K24" s="69"/>
      <c r="L24" s="69"/>
      <c r="M24" s="69"/>
      <c r="N24" s="69"/>
      <c r="O24" s="69"/>
      <c r="P24" s="69"/>
      <c r="Q24" s="69"/>
      <c r="R24" s="69"/>
      <c r="S24" s="69"/>
      <c r="T24" s="69"/>
      <c r="U24" s="69"/>
      <c r="V24" s="69"/>
      <c r="W24" s="69"/>
      <c r="X24" s="69"/>
      <c r="Y24" s="69"/>
      <c r="Z24" s="69"/>
      <c r="AA24" s="69"/>
    </row>
    <row r="25" spans="1:27" s="70" customFormat="1" ht="31.5">
      <c r="A25" s="87" t="str">
        <f>MID('[1]1.Detailed budget'!D39,1,7)</f>
        <v xml:space="preserve">2.2.1: </v>
      </c>
      <c r="B25" s="88" t="str">
        <f>MID('[1]1.Detailed budget'!D39,7,200)</f>
        <v xml:space="preserve"> Establish or strengthen existing Farmer Field Schools (17) in the seven municipalities based on type of agroforestry, sylvopastoral or forestry system to be implemented and logistical and other consi</v>
      </c>
      <c r="C25" s="89">
        <f>SUM('1.Detailed budget'!O39:O43)</f>
        <v>274000</v>
      </c>
      <c r="D25" s="69"/>
      <c r="E25" s="69"/>
      <c r="F25" s="69"/>
      <c r="G25" s="69"/>
      <c r="H25" s="69"/>
      <c r="I25" s="69"/>
      <c r="J25" s="69"/>
      <c r="K25" s="69"/>
      <c r="L25" s="69"/>
      <c r="M25" s="69"/>
      <c r="N25" s="69"/>
      <c r="O25" s="69"/>
      <c r="P25" s="69"/>
      <c r="Q25" s="69"/>
      <c r="R25" s="69"/>
      <c r="S25" s="69"/>
      <c r="T25" s="69"/>
      <c r="U25" s="69"/>
      <c r="V25" s="69"/>
      <c r="W25" s="69"/>
      <c r="X25" s="69"/>
      <c r="Y25" s="69"/>
      <c r="Z25" s="69"/>
      <c r="AA25" s="69"/>
    </row>
    <row r="26" spans="1:27" s="70" customFormat="1" ht="21">
      <c r="A26" s="87" t="str">
        <f>MID('[1]1.Detailed budget'!D43,1,7)</f>
        <v xml:space="preserve">2.2.2: </v>
      </c>
      <c r="B26" s="88" t="str">
        <f>MID('[1]1.Detailed budget'!D43,7,200)</f>
        <v xml:space="preserve"> Implementation of 17 Farmer Field Schools and training of 15,549   farmers using the participatory research and learning-by-doing approach.</v>
      </c>
      <c r="C26" s="89">
        <f>SUM('1.Detailed budget'!O44:O46)</f>
        <v>444870</v>
      </c>
      <c r="D26" s="69"/>
      <c r="E26" s="69"/>
      <c r="F26" s="69"/>
      <c r="G26" s="69"/>
      <c r="H26" s="69"/>
      <c r="I26" s="69"/>
      <c r="J26" s="69"/>
      <c r="K26" s="69"/>
      <c r="L26" s="69"/>
      <c r="M26" s="69"/>
      <c r="N26" s="69"/>
      <c r="O26" s="69"/>
      <c r="P26" s="69"/>
      <c r="Q26" s="69"/>
      <c r="R26" s="69"/>
      <c r="S26" s="69"/>
      <c r="T26" s="69"/>
      <c r="U26" s="69"/>
      <c r="V26" s="69"/>
      <c r="W26" s="69"/>
      <c r="X26" s="69"/>
      <c r="Y26" s="69"/>
      <c r="Z26" s="69"/>
      <c r="AA26" s="69"/>
    </row>
    <row r="27" spans="1:27" s="70" customFormat="1" ht="42" customHeight="1">
      <c r="A27" s="425" t="s">
        <v>633</v>
      </c>
      <c r="B27" s="425"/>
      <c r="C27" s="81">
        <f>C28+C33+C39</f>
        <v>944692.00079999992</v>
      </c>
      <c r="D27" s="90">
        <f>C27-C28-C33-C39</f>
        <v>0</v>
      </c>
      <c r="E27" s="69"/>
      <c r="F27" s="69"/>
      <c r="G27" s="69"/>
      <c r="H27" s="69"/>
      <c r="I27" s="69"/>
      <c r="J27" s="69"/>
      <c r="K27" s="69"/>
      <c r="L27" s="69"/>
      <c r="M27" s="69"/>
      <c r="N27" s="69"/>
      <c r="O27" s="69"/>
      <c r="P27" s="69"/>
      <c r="Q27" s="69"/>
      <c r="R27" s="69"/>
      <c r="S27" s="69"/>
      <c r="T27" s="69"/>
      <c r="U27" s="69"/>
      <c r="V27" s="69"/>
      <c r="W27" s="69"/>
      <c r="X27" s="69"/>
      <c r="Y27" s="69"/>
      <c r="Z27" s="69"/>
      <c r="AA27" s="69"/>
    </row>
    <row r="28" spans="1:27" s="70" customFormat="1" ht="31.5">
      <c r="A28" s="85" t="str">
        <f>MID('[1]1.Detailed budget'!C48,1,4)</f>
        <v xml:space="preserve">3.1 </v>
      </c>
      <c r="B28" s="86" t="str">
        <f>MID('[1]1.Detailed budget'!C48,5,180)</f>
        <v>Develop, discuss and analyze options for policy reforms to support implementation of agroforestry, sylvopastoral and forestry systems for landscape resilience through improved ecos</v>
      </c>
      <c r="C28" s="81">
        <f>SUM(C29:C32)</f>
        <v>260499.99999999985</v>
      </c>
      <c r="D28" s="90">
        <f>C28-SUM(C29:C32)</f>
        <v>0</v>
      </c>
      <c r="E28" s="69"/>
      <c r="F28" s="69"/>
      <c r="G28" s="69"/>
      <c r="H28" s="69"/>
      <c r="I28" s="69"/>
      <c r="J28" s="69"/>
      <c r="K28" s="69"/>
      <c r="L28" s="69"/>
      <c r="M28" s="69"/>
      <c r="N28" s="69"/>
      <c r="O28" s="69"/>
      <c r="P28" s="69"/>
      <c r="Q28" s="69"/>
      <c r="R28" s="69"/>
      <c r="S28" s="69"/>
      <c r="T28" s="69"/>
      <c r="U28" s="69"/>
      <c r="V28" s="69"/>
      <c r="W28" s="69"/>
      <c r="X28" s="69"/>
      <c r="Y28" s="69"/>
      <c r="Z28" s="69"/>
      <c r="AA28" s="69"/>
    </row>
    <row r="29" spans="1:27" s="70" customFormat="1" ht="31.5">
      <c r="A29" s="87" t="str">
        <f>MID('[1]1.Detailed budget'!D48,1,7)</f>
        <v xml:space="preserve">3.1.1: </v>
      </c>
      <c r="B29" s="88" t="str">
        <f>MID('[1]1.Detailed budget'!D48,7,200)</f>
        <v xml:space="preserve"> Ten workshops with expert assistance and input (international and national experts) to facilitate inter-institutional analyses and discussions regarding policy objectives, needs and options for the m</v>
      </c>
      <c r="C29" s="89">
        <f>SUM('1.Detailed budget'!O48:O49)</f>
        <v>250499.99999999985</v>
      </c>
      <c r="D29" s="69"/>
      <c r="E29" s="69"/>
      <c r="F29" s="69"/>
      <c r="G29" s="69"/>
      <c r="H29" s="69"/>
      <c r="I29" s="69"/>
      <c r="J29" s="69"/>
      <c r="K29" s="69"/>
      <c r="L29" s="69"/>
      <c r="M29" s="69"/>
      <c r="N29" s="69"/>
      <c r="O29" s="69"/>
      <c r="P29" s="69"/>
      <c r="Q29" s="69"/>
      <c r="R29" s="69"/>
      <c r="S29" s="69"/>
      <c r="T29" s="69"/>
      <c r="U29" s="69"/>
      <c r="V29" s="69"/>
      <c r="W29" s="69"/>
      <c r="X29" s="69"/>
      <c r="Y29" s="69"/>
      <c r="Z29" s="69"/>
      <c r="AA29" s="69"/>
    </row>
    <row r="30" spans="1:27" s="70" customFormat="1" ht="31.5">
      <c r="A30" s="87" t="str">
        <f>MID('[1]1.Detailed budget'!D50,1,7)</f>
        <v xml:space="preserve">3.1.2: </v>
      </c>
      <c r="B30" s="88" t="str">
        <f>MID('[1]1.Detailed budget'!D50,7,200)</f>
        <v xml:space="preserve"> Definition and discussion of institutional modifications or adaptations in support of the different options for policy reforms to support landscape resilience through improved ecosystem services;</v>
      </c>
      <c r="C30" s="426">
        <f>'1.Detailed budget'!O50</f>
        <v>7000</v>
      </c>
      <c r="D30" s="69"/>
      <c r="E30" s="69"/>
      <c r="F30" s="69"/>
      <c r="G30" s="69"/>
      <c r="H30" s="69"/>
      <c r="I30" s="69"/>
      <c r="J30" s="69"/>
      <c r="K30" s="69"/>
      <c r="L30" s="69"/>
      <c r="M30" s="69"/>
      <c r="N30" s="69"/>
      <c r="O30" s="69"/>
      <c r="P30" s="69"/>
      <c r="Q30" s="69"/>
      <c r="R30" s="69"/>
      <c r="S30" s="69"/>
      <c r="T30" s="69"/>
      <c r="U30" s="69"/>
      <c r="V30" s="69"/>
      <c r="W30" s="69"/>
      <c r="X30" s="69"/>
      <c r="Y30" s="69"/>
      <c r="Z30" s="69"/>
      <c r="AA30" s="69"/>
    </row>
    <row r="31" spans="1:27" s="70" customFormat="1" ht="12.95">
      <c r="A31" s="87" t="str">
        <f>MID('[1]1.Detailed budget'!D51,1,7)</f>
        <v xml:space="preserve">3.1.3: </v>
      </c>
      <c r="B31" s="88" t="str">
        <f>MID('[1]1.Detailed budget'!D51,7,200)</f>
        <v xml:space="preserve"> Development of specific proposals for policy reforms;</v>
      </c>
      <c r="C31" s="427"/>
      <c r="D31" s="69"/>
      <c r="E31" s="69"/>
      <c r="F31" s="69"/>
      <c r="G31" s="69"/>
      <c r="H31" s="69"/>
      <c r="I31" s="69"/>
      <c r="J31" s="69"/>
      <c r="K31" s="69"/>
      <c r="L31" s="69"/>
      <c r="M31" s="69"/>
      <c r="N31" s="69"/>
      <c r="O31" s="69"/>
      <c r="P31" s="69"/>
      <c r="Q31" s="69"/>
      <c r="R31" s="69"/>
      <c r="S31" s="69"/>
      <c r="T31" s="69"/>
      <c r="U31" s="69"/>
      <c r="V31" s="69"/>
      <c r="W31" s="69"/>
      <c r="X31" s="69"/>
      <c r="Y31" s="69"/>
      <c r="Z31" s="69"/>
      <c r="AA31" s="69"/>
    </row>
    <row r="32" spans="1:27" s="70" customFormat="1" ht="12.95">
      <c r="A32" s="87" t="str">
        <f>MID('[1]1.Detailed budget'!D52,1,7)</f>
        <v xml:space="preserve">3.1.4: </v>
      </c>
      <c r="B32" s="88" t="str">
        <f>MID('[1]1.Detailed budget'!D52,7,200)</f>
        <v xml:space="preserve"> Discussion of reform proposals at national level.</v>
      </c>
      <c r="C32" s="89">
        <f>'1.Detailed budget'!O52</f>
        <v>3000</v>
      </c>
      <c r="D32" s="69"/>
      <c r="E32" s="69"/>
      <c r="F32" s="69"/>
      <c r="G32" s="69"/>
      <c r="H32" s="69"/>
      <c r="I32" s="69"/>
      <c r="J32" s="69"/>
      <c r="K32" s="69"/>
      <c r="L32" s="69"/>
      <c r="M32" s="69"/>
      <c r="N32" s="69"/>
      <c r="O32" s="69"/>
      <c r="P32" s="69"/>
      <c r="Q32" s="69"/>
      <c r="R32" s="69"/>
      <c r="S32" s="69"/>
      <c r="T32" s="69"/>
      <c r="U32" s="69"/>
      <c r="V32" s="69"/>
      <c r="W32" s="69"/>
      <c r="X32" s="69"/>
      <c r="Y32" s="69"/>
      <c r="Z32" s="69"/>
      <c r="AA32" s="69"/>
    </row>
    <row r="33" spans="1:27" s="70" customFormat="1" ht="31.5">
      <c r="A33" s="85" t="str">
        <f>MID('[1]1.Detailed budget'!C53,1,4)</f>
        <v xml:space="preserve">3.2 </v>
      </c>
      <c r="B33" s="86" t="str">
        <f>MID('[1]1.Detailed budget'!C53,5,180)</f>
        <v>Establish a Landscape Resilience Fund to support adoption and implementation of agroforestry, sylvopastoral and forestry systems in support of landscape resilience through ecosyste</v>
      </c>
      <c r="C33" s="81">
        <f>SUM(C34:C38)</f>
        <v>642692.00080000004</v>
      </c>
      <c r="D33" s="90">
        <f>C33-SUM(C34:C38)</f>
        <v>0</v>
      </c>
      <c r="E33" s="69"/>
      <c r="F33" s="69"/>
      <c r="G33" s="69"/>
      <c r="H33" s="69"/>
      <c r="I33" s="69"/>
      <c r="J33" s="69"/>
      <c r="K33" s="69"/>
      <c r="L33" s="69"/>
      <c r="M33" s="69"/>
      <c r="N33" s="69"/>
      <c r="O33" s="69"/>
      <c r="P33" s="69"/>
      <c r="Q33" s="69"/>
      <c r="R33" s="69"/>
      <c r="S33" s="69"/>
      <c r="T33" s="69"/>
      <c r="U33" s="69"/>
      <c r="V33" s="69"/>
      <c r="W33" s="69"/>
      <c r="X33" s="69"/>
      <c r="Y33" s="69"/>
      <c r="Z33" s="69"/>
      <c r="AA33" s="69"/>
    </row>
    <row r="34" spans="1:27" s="70" customFormat="1" ht="12.95">
      <c r="A34" s="87" t="str">
        <f>MID('[1]1.Detailed budget'!D53,1,7)</f>
        <v xml:space="preserve">3.2.1: </v>
      </c>
      <c r="B34" s="88" t="str">
        <f>MID('[1]1.Detailed budget'!D53,7,200)</f>
        <v xml:space="preserve"> Expert analyses of existing funds (FONADEF, SCF) and other funds both regionally and globally;</v>
      </c>
      <c r="C34" s="89">
        <f>'1.Detailed budget'!O53</f>
        <v>8000</v>
      </c>
      <c r="D34" s="69"/>
      <c r="E34" s="69"/>
      <c r="F34" s="69"/>
      <c r="G34" s="69"/>
      <c r="H34" s="69"/>
      <c r="I34" s="69"/>
      <c r="J34" s="69"/>
      <c r="K34" s="69"/>
      <c r="L34" s="69"/>
      <c r="M34" s="69"/>
      <c r="N34" s="69"/>
      <c r="O34" s="69"/>
      <c r="P34" s="69"/>
      <c r="Q34" s="69"/>
      <c r="R34" s="69"/>
      <c r="S34" s="69"/>
      <c r="T34" s="69"/>
      <c r="U34" s="69"/>
      <c r="V34" s="69"/>
      <c r="W34" s="69"/>
      <c r="X34" s="69"/>
      <c r="Y34" s="69"/>
      <c r="Z34" s="69"/>
      <c r="AA34" s="69"/>
    </row>
    <row r="35" spans="1:27" s="70" customFormat="1" ht="21">
      <c r="A35" s="87" t="str">
        <f>MID('[1]1.Detailed budget'!D54,1,7)</f>
        <v xml:space="preserve">3.2.2: </v>
      </c>
      <c r="B35" s="88" t="str">
        <f>MID('[1]1.Detailed budget'!D54,7,200)</f>
        <v xml:space="preserve"> Ten workshops to analyze and develop options for a Landscape Resilience Fund to support implementation of landscape resilience policies on the ground;</v>
      </c>
      <c r="C35" s="89">
        <f>'1.Detailed budget'!O54</f>
        <v>30000</v>
      </c>
      <c r="D35" s="69"/>
      <c r="E35" s="69"/>
      <c r="F35" s="69"/>
      <c r="G35" s="69"/>
      <c r="H35" s="69"/>
      <c r="I35" s="69"/>
      <c r="J35" s="69"/>
      <c r="K35" s="69"/>
      <c r="L35" s="69"/>
      <c r="M35" s="69"/>
      <c r="N35" s="69"/>
      <c r="O35" s="69"/>
      <c r="P35" s="69"/>
      <c r="Q35" s="69"/>
      <c r="R35" s="69"/>
      <c r="S35" s="69"/>
      <c r="T35" s="69"/>
      <c r="U35" s="69"/>
      <c r="V35" s="69"/>
      <c r="W35" s="69"/>
      <c r="X35" s="69"/>
      <c r="Y35" s="69"/>
      <c r="Z35" s="69"/>
      <c r="AA35" s="69"/>
    </row>
    <row r="36" spans="1:27" s="70" customFormat="1" ht="21">
      <c r="A36" s="87" t="str">
        <f>MID('[1]1.Detailed budget'!D55,1,7)</f>
        <v xml:space="preserve">3.2.3: </v>
      </c>
      <c r="B36" s="88" t="str">
        <f>MID('[1]1.Detailed budget'!D55,7,200)</f>
        <v xml:space="preserve"> Design of a Landscape Resilience Fund to support resilience-enhancing land use by farmers and producers’ organizations;</v>
      </c>
      <c r="C36" s="89">
        <f>'1.Detailed budget'!O55</f>
        <v>30000</v>
      </c>
      <c r="D36" s="69"/>
      <c r="E36" s="69"/>
      <c r="F36" s="69"/>
      <c r="G36" s="69"/>
      <c r="H36" s="69"/>
      <c r="I36" s="69"/>
      <c r="J36" s="69"/>
      <c r="K36" s="69"/>
      <c r="L36" s="69"/>
      <c r="M36" s="69"/>
      <c r="N36" s="69"/>
      <c r="O36" s="69"/>
      <c r="P36" s="69"/>
      <c r="Q36" s="69"/>
      <c r="R36" s="69"/>
      <c r="S36" s="69"/>
      <c r="T36" s="69"/>
      <c r="U36" s="69"/>
      <c r="V36" s="69"/>
      <c r="W36" s="69"/>
      <c r="X36" s="69"/>
      <c r="Y36" s="69"/>
      <c r="Z36" s="69"/>
      <c r="AA36" s="69"/>
    </row>
    <row r="37" spans="1:27" s="70" customFormat="1" ht="12.95">
      <c r="A37" s="87" t="str">
        <f>MID('[1]1.Detailed budget'!D56,1,7)</f>
        <v xml:space="preserve">3.2.4: </v>
      </c>
      <c r="B37" s="88" t="str">
        <f>MID('[1]1.Detailed budget'!D56,7,200)</f>
        <v xml:space="preserve"> Formal legal establishment of the Landscape Resilience Fund;</v>
      </c>
      <c r="C37" s="89">
        <f>'1.Detailed budget'!O56</f>
        <v>551192.00080000004</v>
      </c>
      <c r="D37" s="69"/>
      <c r="E37" s="69"/>
      <c r="F37" s="69"/>
      <c r="G37" s="69"/>
      <c r="H37" s="69"/>
      <c r="I37" s="69"/>
      <c r="J37" s="69"/>
      <c r="K37" s="69"/>
      <c r="L37" s="69"/>
      <c r="M37" s="69"/>
      <c r="N37" s="69"/>
      <c r="O37" s="69"/>
      <c r="P37" s="69"/>
      <c r="Q37" s="69"/>
      <c r="R37" s="69"/>
      <c r="S37" s="69"/>
      <c r="T37" s="69"/>
      <c r="U37" s="69"/>
      <c r="V37" s="69"/>
      <c r="W37" s="69"/>
      <c r="X37" s="69"/>
      <c r="Y37" s="69"/>
      <c r="Z37" s="69"/>
      <c r="AA37" s="69"/>
    </row>
    <row r="38" spans="1:27" s="70" customFormat="1" ht="12.95">
      <c r="A38" s="87" t="str">
        <f>MID('[1]1.Detailed budget'!D57,1,7)</f>
        <v xml:space="preserve">3.2.5: </v>
      </c>
      <c r="B38" s="88" t="str">
        <f>MID('[1]1.Detailed budget'!D57,7,200)</f>
        <v xml:space="preserve"> Elaboration of communication strategy and materials, and dissemination.</v>
      </c>
      <c r="C38" s="89">
        <f>SUM('1.Detailed budget'!O57:O59)</f>
        <v>23500</v>
      </c>
      <c r="D38" s="69"/>
      <c r="E38" s="69"/>
      <c r="F38" s="69"/>
      <c r="G38" s="69"/>
      <c r="H38" s="69"/>
      <c r="I38" s="69"/>
      <c r="J38" s="69"/>
      <c r="K38" s="69"/>
      <c r="L38" s="69"/>
      <c r="M38" s="69"/>
      <c r="N38" s="69"/>
      <c r="O38" s="69"/>
      <c r="P38" s="69"/>
      <c r="Q38" s="69"/>
      <c r="R38" s="69"/>
      <c r="S38" s="69"/>
      <c r="T38" s="69"/>
      <c r="U38" s="69"/>
      <c r="V38" s="69"/>
      <c r="W38" s="69"/>
      <c r="X38" s="69"/>
      <c r="Y38" s="69"/>
      <c r="Z38" s="69"/>
      <c r="AA38" s="69"/>
    </row>
    <row r="39" spans="1:27" s="70" customFormat="1" ht="21">
      <c r="A39" s="85" t="str">
        <f>MID('[1]1.Detailed budget'!C60,1,4)</f>
        <v xml:space="preserve">3.3 </v>
      </c>
      <c r="B39" s="86" t="str">
        <f>MID('[1]1.Detailed budget'!C60,5,180)</f>
        <v>Strengthen planning, governance and coordination at the landscape level in support of landscape resilience through enhancement of ecosystem services</v>
      </c>
      <c r="C39" s="81">
        <f>SUM(C40:C42)</f>
        <v>41500</v>
      </c>
      <c r="D39" s="90">
        <f>C39-SUM(C40:C42)</f>
        <v>0</v>
      </c>
      <c r="E39" s="69"/>
      <c r="F39" s="69"/>
      <c r="G39" s="69"/>
      <c r="H39" s="69"/>
      <c r="I39" s="69"/>
      <c r="J39" s="69"/>
      <c r="K39" s="69"/>
      <c r="L39" s="69"/>
      <c r="M39" s="69"/>
      <c r="N39" s="69"/>
      <c r="O39" s="69"/>
      <c r="P39" s="69"/>
      <c r="Q39" s="69"/>
      <c r="R39" s="69"/>
      <c r="S39" s="69"/>
      <c r="T39" s="69"/>
      <c r="U39" s="69"/>
      <c r="V39" s="69"/>
      <c r="W39" s="69"/>
      <c r="X39" s="69"/>
      <c r="Y39" s="69"/>
      <c r="Z39" s="69"/>
      <c r="AA39" s="69"/>
    </row>
    <row r="40" spans="1:27" s="70" customFormat="1" ht="31.5">
      <c r="A40" s="87" t="str">
        <f>MID('[1]1.Detailed budget'!D60,1,7)</f>
        <v xml:space="preserve">3.3.1: </v>
      </c>
      <c r="B40" s="88" t="str">
        <f>MID('[1]1.Detailed budget'!D60,7,200)</f>
        <v xml:space="preserve"> Train 30 senior management staff from 10 local branches of established organizations   (Asociacion Cubana de Tecnicos Agricolas y Forestales - ACTAF, Asociacion Cubana de Produccion Animal - ACPA, As</v>
      </c>
      <c r="C40" s="89">
        <f>'1.Detailed budget'!O60</f>
        <v>17500</v>
      </c>
      <c r="D40" s="69"/>
      <c r="E40" s="69"/>
      <c r="F40" s="69"/>
      <c r="G40" s="69"/>
      <c r="H40" s="69"/>
      <c r="I40" s="69"/>
      <c r="J40" s="69"/>
      <c r="K40" s="69"/>
      <c r="L40" s="69"/>
      <c r="M40" s="69"/>
      <c r="N40" s="69"/>
      <c r="O40" s="69"/>
      <c r="P40" s="69"/>
      <c r="Q40" s="69"/>
      <c r="R40" s="69"/>
      <c r="S40" s="69"/>
      <c r="T40" s="69"/>
      <c r="U40" s="69"/>
      <c r="V40" s="69"/>
      <c r="W40" s="69"/>
      <c r="X40" s="69"/>
      <c r="Y40" s="69"/>
      <c r="Z40" s="69"/>
      <c r="AA40" s="69"/>
    </row>
    <row r="41" spans="1:27" s="70" customFormat="1" ht="21">
      <c r="A41" s="87" t="str">
        <f>MID('[1]1.Detailed budget'!D61,1,7)</f>
        <v xml:space="preserve">3.3.2: </v>
      </c>
      <c r="B41" s="88" t="str">
        <f>MID('[1]1.Detailed budget'!D61,7,200)</f>
        <v xml:space="preserve"> Multi-level review and analysis of landscape resilience policies and planning instruments as a framework for adaptive landscape management;</v>
      </c>
      <c r="C41" s="89">
        <f>'1.Detailed budget'!O61</f>
        <v>7500</v>
      </c>
      <c r="D41" s="69"/>
      <c r="E41" s="69"/>
      <c r="F41" s="69"/>
      <c r="G41" s="69"/>
      <c r="H41" s="69"/>
      <c r="I41" s="69"/>
      <c r="J41" s="69"/>
      <c r="K41" s="69"/>
      <c r="L41" s="69"/>
      <c r="M41" s="69"/>
      <c r="N41" s="69"/>
      <c r="O41" s="69"/>
      <c r="P41" s="69"/>
      <c r="Q41" s="69"/>
      <c r="R41" s="69"/>
      <c r="S41" s="69"/>
      <c r="T41" s="69"/>
      <c r="U41" s="69"/>
      <c r="V41" s="69"/>
      <c r="W41" s="69"/>
      <c r="X41" s="69"/>
      <c r="Y41" s="69"/>
      <c r="Z41" s="69"/>
      <c r="AA41" s="69"/>
    </row>
    <row r="42" spans="1:27" s="70" customFormat="1" ht="31.5">
      <c r="A42" s="87" t="str">
        <f>MID('[1]1.Detailed budget'!D62,1,7)</f>
        <v xml:space="preserve">3.3.3: </v>
      </c>
      <c r="B42" s="88" t="str">
        <f>MID('[1]1.Detailed budget'!D62,7,200)</f>
        <v xml:space="preserve"> Fifteen workshops to strengthen coordination in local landscape governance structures for climate change adaptation: Comision de Reforestacion, Grupo de Bahia, Comision de Cuencas Hidrograficas, Comi</v>
      </c>
      <c r="C42" s="89">
        <f>SUM('1.Detailed budget'!O62:O63)</f>
        <v>16500</v>
      </c>
      <c r="D42" s="69"/>
      <c r="E42" s="69"/>
      <c r="F42" s="69"/>
      <c r="G42" s="69"/>
      <c r="H42" s="69"/>
      <c r="I42" s="69"/>
      <c r="J42" s="69"/>
      <c r="K42" s="69"/>
      <c r="L42" s="69"/>
      <c r="M42" s="69"/>
      <c r="N42" s="69"/>
      <c r="O42" s="69"/>
      <c r="P42" s="69"/>
      <c r="Q42" s="69"/>
      <c r="R42" s="69"/>
      <c r="S42" s="69"/>
      <c r="T42" s="69"/>
      <c r="U42" s="69"/>
      <c r="V42" s="69"/>
      <c r="W42" s="69"/>
      <c r="X42" s="69"/>
      <c r="Y42" s="69"/>
      <c r="Z42" s="69"/>
      <c r="AA42" s="69"/>
    </row>
    <row r="43" spans="1:27" s="70" customFormat="1" ht="12.95">
      <c r="A43" s="85" t="str">
        <f>MID('[1]1.Detailed budget'!C68,1,4)</f>
        <v>PMU</v>
      </c>
      <c r="B43" s="86" t="s">
        <v>634</v>
      </c>
      <c r="C43" s="81">
        <f>SUM('1.Detailed budget'!O65:O75)</f>
        <v>6372478.9066666663</v>
      </c>
      <c r="D43" s="90"/>
      <c r="E43" s="69"/>
      <c r="F43" s="69"/>
      <c r="G43" s="69"/>
      <c r="H43" s="69"/>
      <c r="I43" s="69"/>
      <c r="J43" s="69"/>
      <c r="K43" s="69"/>
      <c r="L43" s="69"/>
      <c r="M43" s="69"/>
      <c r="N43" s="69"/>
      <c r="O43" s="69"/>
      <c r="P43" s="69"/>
      <c r="Q43" s="69"/>
      <c r="R43" s="69"/>
      <c r="S43" s="69"/>
      <c r="T43" s="69"/>
      <c r="U43" s="69"/>
      <c r="V43" s="69"/>
      <c r="W43" s="69"/>
      <c r="X43" s="69"/>
      <c r="Y43" s="69"/>
      <c r="Z43" s="69"/>
      <c r="AA43" s="69"/>
    </row>
    <row r="44" spans="1:27" s="70" customFormat="1" ht="12.95">
      <c r="A44" s="252" t="s">
        <v>635</v>
      </c>
      <c r="B44" s="253" t="s">
        <v>635</v>
      </c>
      <c r="C44" s="81">
        <f>SUM('1.Detailed budget'!O77:O81)</f>
        <v>811999.99920000019</v>
      </c>
      <c r="D44" s="69"/>
      <c r="E44" s="69"/>
      <c r="F44" s="69"/>
      <c r="G44" s="69"/>
      <c r="H44" s="69"/>
      <c r="I44" s="69"/>
      <c r="J44" s="69"/>
      <c r="K44" s="69"/>
      <c r="L44" s="69"/>
      <c r="M44" s="69"/>
      <c r="N44" s="69"/>
      <c r="O44" s="69"/>
      <c r="P44" s="69"/>
      <c r="Q44" s="69"/>
      <c r="R44" s="69"/>
      <c r="S44" s="69"/>
      <c r="T44" s="69"/>
      <c r="U44" s="69"/>
      <c r="V44" s="69"/>
      <c r="W44" s="69"/>
      <c r="X44" s="69"/>
      <c r="Y44" s="69"/>
      <c r="Z44" s="69"/>
      <c r="AA44" s="69"/>
    </row>
    <row r="45" spans="1:27" s="70" customFormat="1" ht="12.95">
      <c r="A45" s="94"/>
      <c r="B45" s="92"/>
      <c r="C45" s="93"/>
      <c r="D45" s="69"/>
      <c r="E45" s="69"/>
      <c r="F45" s="69"/>
      <c r="G45" s="69"/>
      <c r="H45" s="69"/>
      <c r="I45" s="69"/>
      <c r="J45" s="69"/>
      <c r="K45" s="69"/>
      <c r="L45" s="69"/>
      <c r="M45" s="69"/>
      <c r="N45" s="69"/>
      <c r="O45" s="69"/>
      <c r="P45" s="69"/>
      <c r="Q45" s="69"/>
      <c r="R45" s="69"/>
      <c r="S45" s="69"/>
      <c r="T45" s="69"/>
      <c r="U45" s="69"/>
      <c r="V45" s="69"/>
      <c r="W45" s="69"/>
      <c r="X45" s="69"/>
      <c r="Y45" s="69"/>
      <c r="Z45" s="69"/>
      <c r="AA45" s="69"/>
    </row>
    <row r="46" spans="1:27" s="70" customFormat="1" ht="12.95">
      <c r="A46" s="91"/>
      <c r="B46" s="92"/>
      <c r="C46" s="93"/>
      <c r="D46" s="69"/>
      <c r="E46" s="69"/>
      <c r="F46" s="69"/>
      <c r="G46" s="69"/>
      <c r="H46" s="69"/>
      <c r="I46" s="69"/>
      <c r="J46" s="69"/>
      <c r="K46" s="69"/>
      <c r="L46" s="69"/>
      <c r="M46" s="69"/>
      <c r="N46" s="69"/>
      <c r="O46" s="69"/>
      <c r="P46" s="69"/>
      <c r="Q46" s="69"/>
      <c r="R46" s="69"/>
      <c r="S46" s="69"/>
      <c r="T46" s="69"/>
      <c r="U46" s="69"/>
      <c r="V46" s="69"/>
      <c r="W46" s="69"/>
      <c r="X46" s="69"/>
      <c r="Y46" s="69"/>
      <c r="Z46" s="69"/>
      <c r="AA46" s="69"/>
    </row>
    <row r="47" spans="1:27" s="70" customFormat="1" ht="12.95">
      <c r="A47" s="91"/>
      <c r="B47" s="92"/>
      <c r="C47" s="93"/>
      <c r="D47" s="69"/>
      <c r="E47" s="69"/>
      <c r="F47" s="69"/>
      <c r="G47" s="69"/>
      <c r="H47" s="69"/>
      <c r="I47" s="69"/>
      <c r="J47" s="69"/>
      <c r="K47" s="69"/>
      <c r="L47" s="69"/>
      <c r="M47" s="69"/>
      <c r="N47" s="69"/>
      <c r="O47" s="69"/>
      <c r="P47" s="69"/>
      <c r="Q47" s="69"/>
      <c r="R47" s="69"/>
      <c r="S47" s="69"/>
      <c r="T47" s="69"/>
      <c r="U47" s="69"/>
      <c r="V47" s="69"/>
      <c r="W47" s="69"/>
      <c r="X47" s="69"/>
      <c r="Y47" s="69"/>
      <c r="Z47" s="69"/>
      <c r="AA47" s="69"/>
    </row>
    <row r="48" spans="1:27" s="70" customFormat="1" ht="12.95">
      <c r="A48" s="91"/>
      <c r="B48" s="92"/>
      <c r="C48" s="93"/>
      <c r="D48" s="69"/>
      <c r="E48" s="69"/>
      <c r="F48" s="69"/>
      <c r="G48" s="69"/>
      <c r="H48" s="69"/>
      <c r="I48" s="69"/>
      <c r="J48" s="69"/>
      <c r="K48" s="69"/>
      <c r="L48" s="69"/>
      <c r="M48" s="69"/>
      <c r="N48" s="69"/>
      <c r="O48" s="69"/>
      <c r="P48" s="69"/>
      <c r="Q48" s="69"/>
      <c r="R48" s="69"/>
      <c r="S48" s="69"/>
      <c r="T48" s="69"/>
      <c r="U48" s="69"/>
      <c r="V48" s="69"/>
      <c r="W48" s="69"/>
      <c r="X48" s="69"/>
      <c r="Y48" s="69"/>
      <c r="Z48" s="69"/>
      <c r="AA48" s="69"/>
    </row>
    <row r="49" spans="1:27" s="84" customFormat="1" ht="24.75" customHeight="1">
      <c r="A49" s="91"/>
      <c r="B49" s="92"/>
      <c r="C49" s="93"/>
      <c r="D49" s="83"/>
      <c r="E49" s="83"/>
      <c r="F49" s="83"/>
      <c r="G49" s="83"/>
      <c r="H49" s="83"/>
      <c r="I49" s="83"/>
      <c r="J49" s="83"/>
      <c r="K49" s="83"/>
      <c r="L49" s="83"/>
      <c r="M49" s="83"/>
      <c r="N49" s="83"/>
      <c r="O49" s="83"/>
      <c r="P49" s="83"/>
      <c r="Q49" s="83"/>
      <c r="R49" s="83"/>
      <c r="S49" s="83"/>
      <c r="T49" s="83"/>
      <c r="U49" s="83"/>
      <c r="V49" s="83"/>
      <c r="W49" s="83"/>
      <c r="X49" s="83"/>
      <c r="Y49" s="83"/>
      <c r="Z49" s="83"/>
      <c r="AA49" s="83"/>
    </row>
    <row r="50" spans="1:27" s="70" customFormat="1" ht="12.95">
      <c r="A50" s="91"/>
      <c r="B50" s="92"/>
      <c r="C50" s="93"/>
      <c r="D50" s="69"/>
      <c r="E50" s="69"/>
      <c r="F50" s="69"/>
      <c r="G50" s="69"/>
      <c r="H50" s="69"/>
      <c r="I50" s="69"/>
      <c r="J50" s="69"/>
      <c r="K50" s="69"/>
      <c r="L50" s="69"/>
      <c r="M50" s="69"/>
      <c r="N50" s="69"/>
      <c r="O50" s="69"/>
      <c r="P50" s="69"/>
      <c r="Q50" s="69"/>
      <c r="R50" s="69"/>
      <c r="S50" s="69"/>
      <c r="T50" s="69"/>
      <c r="U50" s="69"/>
      <c r="V50" s="69"/>
      <c r="W50" s="69"/>
      <c r="X50" s="69"/>
      <c r="Y50" s="69"/>
      <c r="Z50" s="69"/>
      <c r="AA50" s="69"/>
    </row>
    <row r="51" spans="1:27" s="70" customFormat="1" ht="12.95">
      <c r="A51" s="91"/>
      <c r="B51" s="92"/>
      <c r="C51" s="93"/>
      <c r="D51" s="69"/>
      <c r="E51" s="69"/>
      <c r="F51" s="69"/>
      <c r="G51" s="69"/>
      <c r="H51" s="69"/>
      <c r="I51" s="69"/>
      <c r="J51" s="69"/>
      <c r="K51" s="69"/>
      <c r="L51" s="69"/>
      <c r="M51" s="69"/>
      <c r="N51" s="69"/>
      <c r="O51" s="69"/>
      <c r="P51" s="69"/>
      <c r="Q51" s="69"/>
      <c r="R51" s="69"/>
      <c r="S51" s="69"/>
      <c r="T51" s="69"/>
      <c r="U51" s="69"/>
      <c r="V51" s="69"/>
      <c r="W51" s="69"/>
      <c r="X51" s="69"/>
      <c r="Y51" s="69"/>
      <c r="Z51" s="69"/>
      <c r="AA51" s="69"/>
    </row>
    <row r="52" spans="1:27" s="70" customFormat="1" ht="12.95">
      <c r="A52" s="91"/>
      <c r="B52" s="92"/>
      <c r="C52" s="93"/>
      <c r="D52" s="69"/>
      <c r="E52" s="69"/>
      <c r="F52" s="69"/>
      <c r="G52" s="69"/>
      <c r="H52" s="69"/>
      <c r="I52" s="69"/>
      <c r="J52" s="69"/>
      <c r="K52" s="69"/>
      <c r="L52" s="69"/>
      <c r="M52" s="69"/>
      <c r="N52" s="69"/>
      <c r="O52" s="69"/>
      <c r="P52" s="69"/>
      <c r="Q52" s="69"/>
      <c r="R52" s="69"/>
      <c r="S52" s="69"/>
      <c r="T52" s="69"/>
      <c r="U52" s="69"/>
      <c r="V52" s="69"/>
      <c r="W52" s="69"/>
      <c r="X52" s="69"/>
      <c r="Y52" s="69"/>
      <c r="Z52" s="69"/>
      <c r="AA52" s="69"/>
    </row>
    <row r="53" spans="1:27" s="70" customFormat="1" ht="12.95">
      <c r="A53" s="91"/>
      <c r="B53" s="92"/>
      <c r="C53" s="93"/>
      <c r="D53" s="69"/>
      <c r="E53" s="69"/>
      <c r="F53" s="69"/>
      <c r="G53" s="69"/>
      <c r="H53" s="69"/>
      <c r="I53" s="69"/>
      <c r="J53" s="69"/>
      <c r="K53" s="69"/>
      <c r="L53" s="69"/>
      <c r="M53" s="69"/>
      <c r="N53" s="69"/>
      <c r="O53" s="69"/>
      <c r="P53" s="69"/>
      <c r="Q53" s="69"/>
      <c r="R53" s="69"/>
      <c r="S53" s="69"/>
      <c r="T53" s="69"/>
      <c r="U53" s="69"/>
      <c r="V53" s="69"/>
      <c r="W53" s="69"/>
      <c r="X53" s="69"/>
      <c r="Y53" s="69"/>
      <c r="Z53" s="69"/>
      <c r="AA53" s="69"/>
    </row>
    <row r="54" spans="1:27" s="70" customFormat="1" ht="12.95">
      <c r="A54" s="91"/>
      <c r="B54" s="92"/>
      <c r="C54" s="93"/>
      <c r="D54" s="69"/>
      <c r="E54" s="69"/>
      <c r="F54" s="69"/>
      <c r="G54" s="69"/>
      <c r="H54" s="69"/>
      <c r="I54" s="69"/>
      <c r="J54" s="69"/>
      <c r="K54" s="69"/>
      <c r="L54" s="69"/>
      <c r="M54" s="69"/>
      <c r="N54" s="69"/>
      <c r="O54" s="69"/>
      <c r="P54" s="69"/>
      <c r="Q54" s="69"/>
      <c r="R54" s="69"/>
      <c r="S54" s="69"/>
      <c r="T54" s="69"/>
      <c r="U54" s="69"/>
      <c r="V54" s="69"/>
      <c r="W54" s="69"/>
      <c r="X54" s="69"/>
      <c r="Y54" s="69"/>
      <c r="Z54" s="69"/>
      <c r="AA54" s="69"/>
    </row>
    <row r="55" spans="1:27" s="70" customFormat="1" ht="12.95">
      <c r="A55" s="91"/>
      <c r="B55" s="92"/>
      <c r="C55" s="93"/>
      <c r="D55" s="69"/>
      <c r="E55" s="69"/>
      <c r="F55" s="69"/>
      <c r="G55" s="69"/>
      <c r="H55" s="69"/>
      <c r="I55" s="69"/>
      <c r="J55" s="69"/>
      <c r="K55" s="69"/>
      <c r="L55" s="69"/>
      <c r="M55" s="69"/>
      <c r="N55" s="69"/>
      <c r="O55" s="69"/>
      <c r="P55" s="69"/>
      <c r="Q55" s="69"/>
      <c r="R55" s="69"/>
      <c r="S55" s="69"/>
      <c r="T55" s="69"/>
      <c r="U55" s="69"/>
      <c r="V55" s="69"/>
      <c r="W55" s="69"/>
      <c r="X55" s="69"/>
      <c r="Y55" s="69"/>
      <c r="Z55" s="69"/>
      <c r="AA55" s="69"/>
    </row>
    <row r="56" spans="1:27" s="84" customFormat="1" ht="12.95">
      <c r="A56" s="91"/>
      <c r="B56" s="92"/>
      <c r="C56" s="93"/>
      <c r="D56" s="83"/>
      <c r="E56" s="83"/>
      <c r="F56" s="83"/>
      <c r="G56" s="83"/>
      <c r="H56" s="83"/>
      <c r="I56" s="83"/>
      <c r="J56" s="83"/>
      <c r="K56" s="83"/>
      <c r="L56" s="83"/>
      <c r="M56" s="83"/>
      <c r="N56" s="83"/>
      <c r="O56" s="83"/>
      <c r="P56" s="83"/>
      <c r="Q56" s="83"/>
      <c r="R56" s="83"/>
      <c r="S56" s="83"/>
      <c r="T56" s="83"/>
      <c r="U56" s="83"/>
      <c r="V56" s="83"/>
      <c r="W56" s="83"/>
      <c r="X56" s="83"/>
      <c r="Y56" s="83"/>
      <c r="Z56" s="83"/>
      <c r="AA56" s="83"/>
    </row>
    <row r="57" spans="1:27" s="84" customFormat="1" ht="12.95">
      <c r="A57" s="94"/>
      <c r="B57" s="92"/>
      <c r="C57" s="93"/>
      <c r="D57" s="83"/>
      <c r="E57" s="83"/>
      <c r="F57" s="83"/>
      <c r="G57" s="83"/>
      <c r="H57" s="83"/>
      <c r="I57" s="83"/>
      <c r="J57" s="83"/>
      <c r="K57" s="83"/>
      <c r="L57" s="83"/>
      <c r="M57" s="83"/>
      <c r="N57" s="83"/>
      <c r="O57" s="83"/>
      <c r="P57" s="83"/>
      <c r="Q57" s="83"/>
      <c r="R57" s="83"/>
      <c r="S57" s="83"/>
      <c r="T57" s="83"/>
      <c r="U57" s="83"/>
      <c r="V57" s="83"/>
      <c r="W57" s="83"/>
      <c r="X57" s="83"/>
      <c r="Y57" s="83"/>
      <c r="Z57" s="83"/>
      <c r="AA57" s="83"/>
    </row>
    <row r="58" spans="1:27" s="84" customFormat="1" ht="12.95">
      <c r="A58" s="91"/>
      <c r="B58" s="92"/>
      <c r="C58" s="93"/>
      <c r="D58" s="83"/>
      <c r="E58" s="83"/>
      <c r="F58" s="83"/>
      <c r="G58" s="83"/>
      <c r="H58" s="83"/>
      <c r="I58" s="83"/>
      <c r="J58" s="83"/>
      <c r="K58" s="83"/>
      <c r="L58" s="83"/>
      <c r="M58" s="83"/>
      <c r="N58" s="83"/>
      <c r="O58" s="83"/>
      <c r="P58" s="83"/>
      <c r="Q58" s="83"/>
      <c r="R58" s="83"/>
      <c r="S58" s="83"/>
      <c r="T58" s="83"/>
      <c r="U58" s="83"/>
      <c r="V58" s="83"/>
      <c r="W58" s="83"/>
      <c r="X58" s="83"/>
      <c r="Y58" s="83"/>
      <c r="Z58" s="83"/>
      <c r="AA58" s="83"/>
    </row>
    <row r="59" spans="1:27" s="84" customFormat="1" ht="12.95">
      <c r="A59" s="91"/>
      <c r="B59" s="92"/>
      <c r="C59" s="93"/>
      <c r="D59" s="83"/>
      <c r="E59" s="83"/>
      <c r="F59" s="83"/>
      <c r="G59" s="83"/>
      <c r="H59" s="83"/>
      <c r="I59" s="83"/>
      <c r="J59" s="83"/>
      <c r="K59" s="83"/>
      <c r="L59" s="83"/>
      <c r="M59" s="83"/>
      <c r="N59" s="83"/>
      <c r="O59" s="83"/>
      <c r="P59" s="83"/>
      <c r="Q59" s="83"/>
      <c r="R59" s="83"/>
      <c r="S59" s="83"/>
      <c r="T59" s="83"/>
      <c r="U59" s="83"/>
      <c r="V59" s="83"/>
      <c r="W59" s="83"/>
      <c r="X59" s="83"/>
      <c r="Y59" s="83"/>
      <c r="Z59" s="83"/>
      <c r="AA59" s="83"/>
    </row>
    <row r="60" spans="1:27" s="84" customFormat="1" ht="12.95">
      <c r="A60" s="91"/>
      <c r="B60" s="92"/>
      <c r="C60" s="93"/>
      <c r="D60" s="83"/>
      <c r="E60" s="83"/>
      <c r="F60" s="83"/>
      <c r="G60" s="83"/>
      <c r="H60" s="83"/>
      <c r="I60" s="83"/>
      <c r="J60" s="83"/>
      <c r="K60" s="83"/>
      <c r="L60" s="83"/>
      <c r="M60" s="83"/>
      <c r="N60" s="83"/>
      <c r="O60" s="83"/>
      <c r="P60" s="83"/>
      <c r="Q60" s="83"/>
      <c r="R60" s="83"/>
      <c r="S60" s="83"/>
      <c r="T60" s="83"/>
      <c r="U60" s="83"/>
      <c r="V60" s="83"/>
      <c r="W60" s="83"/>
      <c r="X60" s="83"/>
      <c r="Y60" s="83"/>
      <c r="Z60" s="83"/>
      <c r="AA60" s="83"/>
    </row>
    <row r="61" spans="1:27" s="84" customFormat="1" ht="12.95">
      <c r="A61" s="91"/>
      <c r="B61" s="92"/>
      <c r="C61" s="93"/>
      <c r="D61" s="83"/>
      <c r="E61" s="83"/>
      <c r="F61" s="83"/>
      <c r="G61" s="83"/>
      <c r="H61" s="83"/>
      <c r="I61" s="83"/>
      <c r="J61" s="83"/>
      <c r="K61" s="83"/>
      <c r="L61" s="83"/>
      <c r="M61" s="83"/>
      <c r="N61" s="83"/>
      <c r="O61" s="83"/>
      <c r="P61" s="83"/>
      <c r="Q61" s="83"/>
      <c r="R61" s="83"/>
      <c r="S61" s="83"/>
      <c r="T61" s="83"/>
      <c r="U61" s="83"/>
      <c r="V61" s="83"/>
      <c r="W61" s="83"/>
      <c r="X61" s="83"/>
      <c r="Y61" s="83"/>
      <c r="Z61" s="83"/>
      <c r="AA61" s="83"/>
    </row>
    <row r="62" spans="1:27" s="84" customFormat="1" ht="12.95">
      <c r="A62" s="91"/>
      <c r="B62" s="92"/>
      <c r="C62" s="93"/>
      <c r="D62" s="83"/>
      <c r="E62" s="83"/>
      <c r="F62" s="83"/>
      <c r="G62" s="83"/>
      <c r="H62" s="83"/>
      <c r="I62" s="83"/>
      <c r="J62" s="83"/>
      <c r="K62" s="83"/>
      <c r="L62" s="83"/>
      <c r="M62" s="83"/>
      <c r="N62" s="83"/>
      <c r="O62" s="83"/>
      <c r="P62" s="83"/>
      <c r="Q62" s="83"/>
      <c r="R62" s="83"/>
      <c r="S62" s="83"/>
      <c r="T62" s="83"/>
      <c r="U62" s="83"/>
      <c r="V62" s="83"/>
      <c r="W62" s="83"/>
      <c r="X62" s="83"/>
      <c r="Y62" s="83"/>
      <c r="Z62" s="83"/>
      <c r="AA62" s="83"/>
    </row>
    <row r="63" spans="1:27" s="84" customFormat="1" ht="12.95">
      <c r="A63" s="91"/>
      <c r="B63" s="92"/>
      <c r="C63" s="93"/>
      <c r="D63" s="83"/>
      <c r="E63" s="83"/>
      <c r="F63" s="83"/>
      <c r="G63" s="83"/>
      <c r="H63" s="83"/>
      <c r="I63" s="83"/>
      <c r="J63" s="83"/>
      <c r="K63" s="83"/>
      <c r="L63" s="83"/>
      <c r="M63" s="83"/>
      <c r="N63" s="83"/>
      <c r="O63" s="83"/>
      <c r="P63" s="83"/>
      <c r="Q63" s="83"/>
      <c r="R63" s="83"/>
      <c r="S63" s="83"/>
      <c r="T63" s="83"/>
      <c r="U63" s="83"/>
      <c r="V63" s="83"/>
      <c r="W63" s="83"/>
      <c r="X63" s="83"/>
      <c r="Y63" s="83"/>
      <c r="Z63" s="83"/>
      <c r="AA63" s="83"/>
    </row>
    <row r="64" spans="1:27" s="84" customFormat="1" ht="12.95">
      <c r="A64" s="95"/>
      <c r="B64" s="92"/>
      <c r="C64" s="93"/>
      <c r="D64" s="83"/>
      <c r="E64" s="83"/>
      <c r="F64" s="83"/>
      <c r="G64" s="83"/>
      <c r="H64" s="83"/>
      <c r="I64" s="83"/>
      <c r="J64" s="83"/>
      <c r="K64" s="83"/>
      <c r="L64" s="83"/>
      <c r="M64" s="83"/>
      <c r="N64" s="83"/>
      <c r="O64" s="83"/>
      <c r="P64" s="83"/>
      <c r="Q64" s="83"/>
      <c r="R64" s="83"/>
      <c r="S64" s="83"/>
      <c r="T64" s="83"/>
      <c r="U64" s="83"/>
      <c r="V64" s="83"/>
      <c r="W64" s="83"/>
      <c r="X64" s="83"/>
      <c r="Y64" s="83"/>
      <c r="Z64" s="83"/>
      <c r="AA64" s="83"/>
    </row>
    <row r="65" spans="1:27" s="84" customFormat="1" ht="12.95">
      <c r="A65" s="95"/>
      <c r="B65" s="92"/>
      <c r="C65" s="93"/>
      <c r="D65" s="83"/>
      <c r="E65" s="83"/>
      <c r="F65" s="83"/>
      <c r="G65" s="83"/>
      <c r="H65" s="83"/>
      <c r="I65" s="83"/>
      <c r="J65" s="83"/>
      <c r="K65" s="83"/>
      <c r="L65" s="83"/>
      <c r="M65" s="83"/>
      <c r="N65" s="83"/>
      <c r="O65" s="83"/>
      <c r="P65" s="83"/>
      <c r="Q65" s="83"/>
      <c r="R65" s="83"/>
      <c r="S65" s="83"/>
      <c r="T65" s="83"/>
      <c r="U65" s="83"/>
      <c r="V65" s="83"/>
      <c r="W65" s="83"/>
      <c r="X65" s="83"/>
      <c r="Y65" s="83"/>
      <c r="Z65" s="83"/>
      <c r="AA65" s="83"/>
    </row>
    <row r="66" spans="1:27" s="84" customFormat="1" ht="15" customHeight="1">
      <c r="A66" s="95"/>
      <c r="B66" s="92"/>
      <c r="C66" s="93"/>
      <c r="D66" s="83"/>
      <c r="E66" s="83"/>
      <c r="F66" s="83"/>
      <c r="G66" s="83"/>
      <c r="H66" s="83"/>
      <c r="I66" s="83"/>
      <c r="J66" s="83"/>
      <c r="K66" s="83"/>
      <c r="L66" s="83"/>
      <c r="M66" s="83"/>
      <c r="N66" s="83"/>
      <c r="O66" s="83"/>
      <c r="P66" s="83"/>
      <c r="Q66" s="83"/>
      <c r="R66" s="83"/>
      <c r="S66" s="83"/>
      <c r="T66" s="83"/>
      <c r="U66" s="83"/>
      <c r="V66" s="83"/>
      <c r="W66" s="83"/>
      <c r="X66" s="83"/>
      <c r="Y66" s="83"/>
      <c r="Z66" s="83"/>
      <c r="AA66" s="83"/>
    </row>
    <row r="67" spans="1:27">
      <c r="D67" s="92"/>
      <c r="E67" s="93"/>
    </row>
    <row r="68" spans="1:27">
      <c r="D68" s="92"/>
      <c r="E68" s="93"/>
    </row>
    <row r="69" spans="1:27">
      <c r="A69" s="96"/>
      <c r="D69" s="92"/>
      <c r="E69" s="93"/>
    </row>
    <row r="70" spans="1:27">
      <c r="A70" s="97"/>
      <c r="B70" s="98"/>
      <c r="D70" s="92"/>
      <c r="E70" s="93"/>
    </row>
    <row r="71" spans="1:27">
      <c r="A71" s="97"/>
      <c r="B71" s="98"/>
      <c r="D71" s="92"/>
      <c r="E71" s="93"/>
    </row>
    <row r="72" spans="1:27">
      <c r="A72" s="99"/>
      <c r="B72" s="98"/>
      <c r="C72" s="98"/>
      <c r="D72" s="92"/>
      <c r="E72" s="93"/>
    </row>
    <row r="73" spans="1:27">
      <c r="A73" s="99"/>
      <c r="B73" s="98"/>
      <c r="C73" s="98"/>
      <c r="D73" s="92"/>
      <c r="E73" s="93"/>
    </row>
    <row r="74" spans="1:27">
      <c r="A74" s="97"/>
      <c r="B74" s="98"/>
      <c r="D74" s="92"/>
      <c r="E74" s="93"/>
    </row>
    <row r="75" spans="1:27">
      <c r="A75" s="97"/>
      <c r="B75" s="98"/>
      <c r="D75" s="92"/>
      <c r="E75" s="100"/>
    </row>
    <row r="76" spans="1:27">
      <c r="A76" s="97"/>
      <c r="B76" s="98"/>
    </row>
    <row r="77" spans="1:27">
      <c r="A77" s="99"/>
      <c r="B77" s="98"/>
      <c r="C77" s="98"/>
    </row>
    <row r="78" spans="1:27">
      <c r="A78" s="97"/>
      <c r="B78" s="98"/>
    </row>
    <row r="79" spans="1:27">
      <c r="A79" s="98"/>
      <c r="B79" s="98"/>
    </row>
    <row r="80" spans="1:27">
      <c r="A80" s="101"/>
      <c r="C80" s="98"/>
      <c r="D80" s="98"/>
      <c r="E80" s="98"/>
    </row>
    <row r="81" spans="1:5">
      <c r="A81" s="99"/>
      <c r="B81" s="98"/>
      <c r="C81" s="98"/>
      <c r="D81" s="98"/>
      <c r="E81" s="98"/>
    </row>
    <row r="82" spans="1:5">
      <c r="A82" s="99"/>
      <c r="B82" s="102"/>
      <c r="C82" s="98"/>
    </row>
    <row r="83" spans="1:5">
      <c r="A83" s="99"/>
      <c r="B83" s="103"/>
      <c r="C83" s="98"/>
    </row>
    <row r="84" spans="1:5">
      <c r="A84" s="99"/>
      <c r="B84" s="104"/>
      <c r="C84" s="98"/>
    </row>
    <row r="85" spans="1:5">
      <c r="A85" s="99"/>
      <c r="B85" s="102"/>
      <c r="C85" s="98"/>
      <c r="D85" s="98"/>
      <c r="E85" s="98"/>
    </row>
    <row r="86" spans="1:5">
      <c r="A86" s="96"/>
      <c r="C86" s="98"/>
    </row>
    <row r="87" spans="1:5">
      <c r="A87" s="99"/>
      <c r="B87" s="98"/>
      <c r="C87" s="98"/>
    </row>
    <row r="88" spans="1:5">
      <c r="A88" s="99"/>
      <c r="B88" s="98"/>
      <c r="C88" s="98"/>
      <c r="D88" s="98"/>
      <c r="E88" s="98"/>
    </row>
    <row r="89" spans="1:5">
      <c r="A89" s="99"/>
      <c r="B89" s="98"/>
      <c r="C89" s="98"/>
      <c r="D89" s="98"/>
      <c r="E89" s="98"/>
    </row>
    <row r="90" spans="1:5">
      <c r="A90" s="99"/>
      <c r="B90" s="98"/>
      <c r="C90" s="98"/>
      <c r="D90" s="98"/>
      <c r="E90" s="98"/>
    </row>
    <row r="91" spans="1:5">
      <c r="A91" s="421" t="s">
        <v>636</v>
      </c>
      <c r="B91" s="421"/>
      <c r="C91" s="98"/>
      <c r="D91" s="98"/>
      <c r="E91" s="98"/>
    </row>
    <row r="92" spans="1:5">
      <c r="A92" s="99"/>
      <c r="B92" s="98"/>
      <c r="C92" s="98"/>
      <c r="D92" s="98"/>
      <c r="E92" s="98"/>
    </row>
    <row r="93" spans="1:5">
      <c r="D93" s="98"/>
      <c r="E93" s="98"/>
    </row>
    <row r="94" spans="1:5">
      <c r="D94" s="98"/>
      <c r="E94" s="98"/>
    </row>
    <row r="95" spans="1:5">
      <c r="D95" s="98"/>
      <c r="E95" s="98"/>
    </row>
    <row r="96" spans="1:5">
      <c r="D96" s="98"/>
      <c r="E96" s="98"/>
    </row>
    <row r="97" spans="4:5">
      <c r="D97" s="98"/>
      <c r="E97" s="98"/>
    </row>
    <row r="98" spans="4:5">
      <c r="D98" s="98"/>
      <c r="E98" s="98"/>
    </row>
    <row r="99" spans="4:5">
      <c r="D99" s="98"/>
      <c r="E99" s="98"/>
    </row>
    <row r="100" spans="4:5">
      <c r="D100" s="98"/>
      <c r="E100" s="98"/>
    </row>
  </sheetData>
  <mergeCells count="7">
    <mergeCell ref="A91:B91"/>
    <mergeCell ref="A1:C1"/>
    <mergeCell ref="A3:B3"/>
    <mergeCell ref="A4:B4"/>
    <mergeCell ref="A19:B19"/>
    <mergeCell ref="A27:B27"/>
    <mergeCell ref="C30:C31"/>
  </mergeCells>
  <pageMargins left="0.7" right="0.7" top="0.75" bottom="0.75" header="0.3" footer="0.3"/>
  <pageSetup paperSize="9" scale="9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dimension ref="A1:Q65"/>
  <sheetViews>
    <sheetView showGridLines="0" view="pageBreakPreview" topLeftCell="B42" zoomScale="40" zoomScaleNormal="60" zoomScaleSheetLayoutView="40" workbookViewId="0">
      <selection activeCell="P39" sqref="P39:P40"/>
    </sheetView>
  </sheetViews>
  <sheetFormatPr defaultColWidth="11.42578125" defaultRowHeight="14.45"/>
  <cols>
    <col min="1" max="2" width="38.42578125" style="60" customWidth="1"/>
    <col min="3" max="3" width="13.42578125" style="60" bestFit="1" customWidth="1"/>
    <col min="4" max="4" width="29.140625" style="60" customWidth="1"/>
    <col min="5" max="5" width="43.42578125" style="60" customWidth="1"/>
    <col min="6" max="6" width="30.42578125" style="60" customWidth="1"/>
    <col min="7" max="7" width="13.85546875" style="66" bestFit="1" customWidth="1"/>
    <col min="8" max="8" width="14.85546875" style="66" bestFit="1" customWidth="1"/>
    <col min="9" max="11" width="14.42578125" style="66" bestFit="1" customWidth="1"/>
    <col min="12" max="13" width="14.42578125" style="66" customWidth="1"/>
    <col min="14" max="14" width="14.85546875" style="66" bestFit="1" customWidth="1"/>
    <col min="15" max="15" width="11.42578125" style="68"/>
    <col min="16" max="16" width="13.140625" style="60" bestFit="1" customWidth="1"/>
    <col min="17" max="17" width="11.42578125" style="60" customWidth="1"/>
    <col min="18" max="16384" width="11.42578125" style="60"/>
  </cols>
  <sheetData>
    <row r="1" spans="1:17">
      <c r="A1" s="57" t="s">
        <v>637</v>
      </c>
      <c r="B1" s="57"/>
      <c r="C1" s="34"/>
      <c r="D1" s="34"/>
      <c r="E1" s="34"/>
      <c r="F1" s="34"/>
      <c r="G1" s="58"/>
      <c r="H1" s="58"/>
      <c r="I1" s="58"/>
      <c r="J1" s="58"/>
      <c r="K1" s="58"/>
      <c r="L1" s="58"/>
      <c r="M1" s="58"/>
      <c r="N1" s="58"/>
      <c r="O1" s="59"/>
    </row>
    <row r="2" spans="1:17" ht="29.1">
      <c r="A2" s="61" t="s">
        <v>3</v>
      </c>
      <c r="B2" s="38" t="s">
        <v>4</v>
      </c>
      <c r="C2" s="61" t="s">
        <v>5</v>
      </c>
      <c r="D2" s="61" t="s">
        <v>6</v>
      </c>
      <c r="E2" s="61" t="s">
        <v>7</v>
      </c>
      <c r="F2" s="61" t="s">
        <v>638</v>
      </c>
      <c r="G2" s="62" t="s">
        <v>8</v>
      </c>
      <c r="H2" s="62" t="s">
        <v>9</v>
      </c>
      <c r="I2" s="62" t="s">
        <v>10</v>
      </c>
      <c r="J2" s="62" t="s">
        <v>11</v>
      </c>
      <c r="K2" s="62" t="s">
        <v>12</v>
      </c>
      <c r="L2" s="62" t="s">
        <v>13</v>
      </c>
      <c r="M2" s="62" t="s">
        <v>14</v>
      </c>
      <c r="N2" s="62" t="s">
        <v>15</v>
      </c>
      <c r="O2" s="61" t="s">
        <v>16</v>
      </c>
    </row>
    <row r="3" spans="1:17" ht="81" customHeight="1">
      <c r="A3" s="351" t="str">
        <f>'[1]1.Detailed budget'!C3:C19</f>
        <v>1.1 Restore approximately 15,544 ha of farmland from marabu, and increase CC-resilience through sustainable agroforestry (AF), CTNPFs and assisted natural regeneration (mitigation co-benefit 417,532 million tCO2-eq. in 7 years of implementation)</v>
      </c>
      <c r="B3" s="351" t="str">
        <f>'[1]1.Detailed budget'!D3:D4</f>
        <v>1.1.1: Procure identified technologies and equipment</v>
      </c>
      <c r="C3" s="351" t="s">
        <v>21</v>
      </c>
      <c r="D3" s="363" t="str">
        <f>'[1]1.Detailed budget'!F4</f>
        <v>Equipment</v>
      </c>
      <c r="E3" s="330" t="str">
        <f>'1.Detailed budget'!G3</f>
        <v>Purchase and distribution of technology and equipment that will be used to clear marabú thickets on soils at high risk of desertification and degradation. Low impact technologies will be acquired that have been successfully pilot tested under Cuban or similar conditions and will be applied at scale. Agroforestry systems, CTNPF and assisted natural regeneration will then be initiated through the application of Modules described to restore ecosystem function and services.</v>
      </c>
      <c r="F3" s="321"/>
      <c r="G3" s="64">
        <f>'1.Detailed budget'!H3</f>
        <v>1777659.0600000003</v>
      </c>
      <c r="H3" s="64">
        <f>'1.Detailed budget'!I3</f>
        <v>1777659.0600000003</v>
      </c>
      <c r="I3" s="64">
        <f>'1.Detailed budget'!J3</f>
        <v>888829.53000000014</v>
      </c>
      <c r="J3" s="64">
        <f>'1.Detailed budget'!K3</f>
        <v>0</v>
      </c>
      <c r="K3" s="64">
        <f>'1.Detailed budget'!L3</f>
        <v>0</v>
      </c>
      <c r="L3" s="64">
        <f>'1.Detailed budget'!M3</f>
        <v>0</v>
      </c>
      <c r="M3" s="64">
        <f>'1.Detailed budget'!N3</f>
        <v>0</v>
      </c>
      <c r="N3" s="64">
        <f t="shared" ref="N3:N14" si="0">SUM(G3:M3)</f>
        <v>4444147.6500000004</v>
      </c>
      <c r="O3" s="65" t="str">
        <f>'1.Detailed budget'!P3</f>
        <v>A</v>
      </c>
      <c r="P3" s="66"/>
      <c r="Q3" s="66"/>
    </row>
    <row r="4" spans="1:17" ht="29.1">
      <c r="A4" s="351"/>
      <c r="B4" s="351"/>
      <c r="C4" s="351"/>
      <c r="D4" s="363"/>
      <c r="E4" s="150" t="str">
        <f>'1.Detailed budget'!G4</f>
        <v xml:space="preserve">Implementation of operations and maintenance program of marabu and agroforestry technologies </v>
      </c>
      <c r="F4" s="151"/>
      <c r="G4" s="64">
        <f>'1.Detailed budget'!H4</f>
        <v>102415.91627840082</v>
      </c>
      <c r="H4" s="64">
        <f>'1.Detailed budget'!I4</f>
        <v>102415.91627840082</v>
      </c>
      <c r="I4" s="64">
        <f>'1.Detailed budget'!J4</f>
        <v>102415.91627840082</v>
      </c>
      <c r="J4" s="64">
        <f>'1.Detailed budget'!K4</f>
        <v>102415.91627840082</v>
      </c>
      <c r="K4" s="64">
        <f>'1.Detailed budget'!L4</f>
        <v>102415.91627840082</v>
      </c>
      <c r="L4" s="64">
        <f>'1.Detailed budget'!M4</f>
        <v>102415.91627840082</v>
      </c>
      <c r="M4" s="64">
        <f>'1.Detailed budget'!N4</f>
        <v>102415.91627840082</v>
      </c>
      <c r="N4" s="64">
        <f t="shared" si="0"/>
        <v>716911.41394880577</v>
      </c>
      <c r="O4" s="65" t="str">
        <f>'1.Detailed budget'!P4</f>
        <v>B</v>
      </c>
      <c r="P4" s="66"/>
      <c r="Q4" s="66"/>
    </row>
    <row r="5" spans="1:17" ht="29.1">
      <c r="A5" s="351"/>
      <c r="B5" s="351"/>
      <c r="C5" s="351"/>
      <c r="D5" s="363"/>
      <c r="E5" s="150" t="str">
        <f>'1.Detailed budget'!G5</f>
        <v>Acquisition of inputs to be used on the clearing of land invaded by Dychostachys cinerea (marabú).</v>
      </c>
      <c r="F5" s="151"/>
      <c r="G5" s="64">
        <f>'1.Detailed budget'!H5</f>
        <v>60398.953958175989</v>
      </c>
      <c r="H5" s="64">
        <f>'1.Detailed budget'!I5</f>
        <v>120824.72805576502</v>
      </c>
      <c r="I5" s="64">
        <f>'1.Detailed budget'!J5</f>
        <v>181223.68201394103</v>
      </c>
      <c r="J5" s="64">
        <f>'1.Detailed budget'!K5</f>
        <v>181223.68201394103</v>
      </c>
      <c r="K5" s="64">
        <f>'1.Detailed budget'!L5</f>
        <v>60398.953958175989</v>
      </c>
      <c r="L5" s="64">
        <f>'1.Detailed budget'!M5</f>
        <v>0</v>
      </c>
      <c r="M5" s="64">
        <f>'1.Detailed budget'!N5</f>
        <v>0</v>
      </c>
      <c r="N5" s="64">
        <f t="shared" si="0"/>
        <v>604069.99999999895</v>
      </c>
      <c r="O5" s="65" t="str">
        <f>'1.Detailed budget'!P5</f>
        <v>C</v>
      </c>
      <c r="P5" s="66"/>
      <c r="Q5" s="66"/>
    </row>
    <row r="6" spans="1:17" ht="87">
      <c r="A6" s="351"/>
      <c r="B6" s="351"/>
      <c r="C6" s="351"/>
      <c r="D6" s="363"/>
      <c r="E6" s="150" t="str">
        <f>'1.Detailed budget'!G6</f>
        <v>Acquisition of inputs to be used during the phases of establishment, cultural work (control of weeds, pests and diseases and plant nutrition) for the development of the species that make up the agroforestry arrangement of the different modules to be implemented.</v>
      </c>
      <c r="F6" s="151"/>
      <c r="G6" s="64">
        <f>'1.Detailed budget'!H6</f>
        <v>173077.39379999996</v>
      </c>
      <c r="H6" s="64">
        <f>'1.Detailed budget'!I6</f>
        <v>346154.78759999992</v>
      </c>
      <c r="I6" s="64">
        <f>'1.Detailed budget'!J6</f>
        <v>519232.18139999988</v>
      </c>
      <c r="J6" s="64">
        <f>'1.Detailed budget'!K6</f>
        <v>346154.78759999992</v>
      </c>
      <c r="K6" s="64">
        <f>'1.Detailed budget'!L6</f>
        <v>173077.39379999996</v>
      </c>
      <c r="L6" s="64">
        <f>'1.Detailed budget'!M6</f>
        <v>86538.696899999981</v>
      </c>
      <c r="M6" s="64">
        <f>'1.Detailed budget'!N6</f>
        <v>86538.696899999981</v>
      </c>
      <c r="N6" s="64">
        <f t="shared" si="0"/>
        <v>1730773.9379999996</v>
      </c>
      <c r="O6" s="65" t="str">
        <f>'1.Detailed budget'!P6</f>
        <v>D</v>
      </c>
      <c r="P6" s="66"/>
      <c r="Q6" s="66"/>
    </row>
    <row r="7" spans="1:17" ht="57.95">
      <c r="A7" s="351"/>
      <c r="B7" s="351"/>
      <c r="C7" s="351"/>
      <c r="D7" s="363"/>
      <c r="E7" s="150" t="str">
        <f>'1.Detailed budget'!G7</f>
        <v>Acquisition of synthetic fertilizer (NPK) to be used in the phases of establishment and development of agricultural and fruit crops included in the modules to be implemented.</v>
      </c>
      <c r="F7" s="151"/>
      <c r="G7" s="64">
        <f>'1.Detailed budget'!H7</f>
        <v>59097.168000000005</v>
      </c>
      <c r="H7" s="64">
        <f>'1.Detailed budget'!I7</f>
        <v>175927.75200000001</v>
      </c>
      <c r="I7" s="64">
        <f>'1.Detailed budget'!J7</f>
        <v>351153.03600000002</v>
      </c>
      <c r="J7" s="64">
        <f>'1.Detailed budget'!K7</f>
        <v>467276.00400000002</v>
      </c>
      <c r="K7" s="64">
        <f>'1.Detailed budget'!L7</f>
        <v>406852.05600000004</v>
      </c>
      <c r="L7" s="64">
        <f>'1.Detailed budget'!M7</f>
        <v>231631.91999999998</v>
      </c>
      <c r="M7" s="64">
        <f>'1.Detailed budget'!N7</f>
        <v>57754.47600000001</v>
      </c>
      <c r="N7" s="64">
        <f t="shared" si="0"/>
        <v>1749692.412</v>
      </c>
      <c r="O7" s="65" t="str">
        <f>'1.Detailed budget'!P7</f>
        <v>E</v>
      </c>
      <c r="P7" s="66"/>
      <c r="Q7" s="66"/>
    </row>
    <row r="8" spans="1:17" ht="116.1">
      <c r="A8" s="351"/>
      <c r="B8" s="351"/>
      <c r="C8" s="351"/>
      <c r="D8" s="363"/>
      <c r="E8" s="150" t="str">
        <f>'1.Detailed budget'!G8</f>
        <v xml:space="preserve">Enhance the capacities in the soil laboratories in the provinces of intervention of the project (Las Tunas, Villa Clara and Matanzas) to guarantee an efficient and quality service, according to the conditions that are established, of the soil and water analyzes , plants and fruits that are required during the diagnosis and monitoring of the intervention sites. </v>
      </c>
      <c r="F8" s="151"/>
      <c r="G8" s="64">
        <f>'1.Detailed budget'!H8</f>
        <v>117000</v>
      </c>
      <c r="H8" s="64">
        <f>'1.Detailed budget'!I8</f>
        <v>0</v>
      </c>
      <c r="I8" s="64">
        <f>'1.Detailed budget'!J8</f>
        <v>0</v>
      </c>
      <c r="J8" s="64">
        <f>'1.Detailed budget'!K8</f>
        <v>0</v>
      </c>
      <c r="K8" s="64">
        <f>'1.Detailed budget'!L8</f>
        <v>0</v>
      </c>
      <c r="L8" s="64">
        <f>'1.Detailed budget'!M8</f>
        <v>0</v>
      </c>
      <c r="M8" s="64">
        <f>'1.Detailed budget'!N8</f>
        <v>0</v>
      </c>
      <c r="N8" s="64">
        <f t="shared" si="0"/>
        <v>117000</v>
      </c>
      <c r="O8" s="65" t="str">
        <f>'1.Detailed budget'!P8</f>
        <v>F</v>
      </c>
      <c r="P8" s="66"/>
      <c r="Q8" s="66"/>
    </row>
    <row r="9" spans="1:17" ht="29.1">
      <c r="A9" s="351"/>
      <c r="B9" s="351"/>
      <c r="C9" s="351"/>
      <c r="D9" s="363"/>
      <c r="E9" s="150" t="str">
        <f>'1.Detailed budget'!G9</f>
        <v>Strengthening of municipal agroforestry nurseries administered by the base business units.</v>
      </c>
      <c r="F9" s="151"/>
      <c r="G9" s="64">
        <f>'1.Detailed budget'!H9</f>
        <v>2221747.58</v>
      </c>
      <c r="H9" s="64">
        <f>'1.Detailed budget'!I9</f>
        <v>0</v>
      </c>
      <c r="I9" s="64">
        <f>'1.Detailed budget'!J9</f>
        <v>0</v>
      </c>
      <c r="J9" s="64">
        <f>'1.Detailed budget'!K9</f>
        <v>0</v>
      </c>
      <c r="K9" s="64">
        <f>'1.Detailed budget'!L9</f>
        <v>0</v>
      </c>
      <c r="L9" s="64">
        <f>'1.Detailed budget'!M9</f>
        <v>0</v>
      </c>
      <c r="M9" s="64">
        <f>'1.Detailed budget'!N9</f>
        <v>0</v>
      </c>
      <c r="N9" s="64">
        <f t="shared" si="0"/>
        <v>2221747.58</v>
      </c>
      <c r="O9" s="65" t="str">
        <f>'1.Detailed budget'!P9</f>
        <v>G</v>
      </c>
      <c r="P9" s="66"/>
      <c r="Q9" s="66"/>
    </row>
    <row r="10" spans="1:17" ht="87">
      <c r="A10" s="351"/>
      <c r="B10" s="351"/>
      <c r="C10" s="351"/>
      <c r="D10" s="363"/>
      <c r="E10" s="150" t="str">
        <f>'1.Detailed budget'!G10</f>
        <v xml:space="preserve">Creation or improvement of working conditions for the incorporation of women into the agricultural work of the modules to be implemented. (e.g. gender differentiated toilets will be created, and the conditions of existing toilets will be improved) </v>
      </c>
      <c r="F10" s="151"/>
      <c r="G10" s="64">
        <f>'1.Detailed budget'!H10</f>
        <v>6000</v>
      </c>
      <c r="H10" s="64">
        <f>'1.Detailed budget'!I10</f>
        <v>0</v>
      </c>
      <c r="I10" s="64">
        <f>'1.Detailed budget'!J10</f>
        <v>0</v>
      </c>
      <c r="J10" s="64">
        <f>'1.Detailed budget'!K10</f>
        <v>0</v>
      </c>
      <c r="K10" s="64">
        <f>'1.Detailed budget'!L10</f>
        <v>0</v>
      </c>
      <c r="L10" s="64">
        <f>'1.Detailed budget'!M10</f>
        <v>0</v>
      </c>
      <c r="M10" s="64">
        <f>'1.Detailed budget'!N10</f>
        <v>0</v>
      </c>
      <c r="N10" s="64">
        <f t="shared" si="0"/>
        <v>6000</v>
      </c>
      <c r="O10" s="65" t="str">
        <f>'1.Detailed budget'!P10</f>
        <v>H</v>
      </c>
      <c r="P10" s="66"/>
      <c r="Q10" s="66"/>
    </row>
    <row r="11" spans="1:17" ht="88.5" customHeight="1">
      <c r="A11" s="351"/>
      <c r="B11" s="351" t="str">
        <f>'[1]1.Detailed budget'!D5</f>
        <v>1.1.2: Develop training materials for operations and maintenance</v>
      </c>
      <c r="C11" s="351" t="s">
        <v>21</v>
      </c>
      <c r="D11" s="363" t="str">
        <f>'1.Detailed budget'!F11:F12</f>
        <v>Professional/ Contractual Services</v>
      </c>
      <c r="E11" s="150" t="str">
        <f>'1.Detailed budget'!G11</f>
        <v xml:space="preserve">Development of training material of low impact technologies that have been successfully pilot tested under Cuban or similar conditions and will be applied at scale. </v>
      </c>
      <c r="F11" s="151"/>
      <c r="G11" s="64">
        <f>'1.Detailed budget'!H11</f>
        <v>10500</v>
      </c>
      <c r="H11" s="64">
        <f>'1.Detailed budget'!I11</f>
        <v>4500</v>
      </c>
      <c r="I11" s="64">
        <f>'1.Detailed budget'!J11</f>
        <v>4500</v>
      </c>
      <c r="J11" s="64">
        <f>'1.Detailed budget'!K11</f>
        <v>0</v>
      </c>
      <c r="K11" s="64">
        <f>'1.Detailed budget'!L11</f>
        <v>0</v>
      </c>
      <c r="L11" s="64">
        <f>'1.Detailed budget'!M11</f>
        <v>0</v>
      </c>
      <c r="M11" s="64">
        <f>'1.Detailed budget'!N11</f>
        <v>0</v>
      </c>
      <c r="N11" s="64">
        <f t="shared" si="0"/>
        <v>19500</v>
      </c>
      <c r="O11" s="65" t="str">
        <f>'1.Detailed budget'!P11</f>
        <v>I</v>
      </c>
      <c r="P11" s="66"/>
      <c r="Q11" s="66"/>
    </row>
    <row r="12" spans="1:17" ht="62.25" customHeight="1">
      <c r="A12" s="351"/>
      <c r="B12" s="351"/>
      <c r="C12" s="351"/>
      <c r="D12" s="363"/>
      <c r="E12" s="150" t="str">
        <f>'1.Detailed budget'!G12</f>
        <v>Development of training material for operations and maintenance of machinery that will be used on implementation of agroforestry and forestry modules of the project.</v>
      </c>
      <c r="F12" s="151"/>
      <c r="G12" s="64">
        <f>'1.Detailed budget'!H12</f>
        <v>2000</v>
      </c>
      <c r="H12" s="64">
        <f>'1.Detailed budget'!I12</f>
        <v>0</v>
      </c>
      <c r="I12" s="64">
        <f>'1.Detailed budget'!J12</f>
        <v>0</v>
      </c>
      <c r="J12" s="64">
        <f>'1.Detailed budget'!K12</f>
        <v>0</v>
      </c>
      <c r="K12" s="64">
        <f>'1.Detailed budget'!L12</f>
        <v>0</v>
      </c>
      <c r="L12" s="64">
        <f>'1.Detailed budget'!M12</f>
        <v>0</v>
      </c>
      <c r="M12" s="64">
        <f>'1.Detailed budget'!N12</f>
        <v>0</v>
      </c>
      <c r="N12" s="64">
        <f t="shared" si="0"/>
        <v>2000</v>
      </c>
      <c r="O12" s="65" t="str">
        <f>'1.Detailed budget'!P12</f>
        <v>J</v>
      </c>
      <c r="P12" s="66"/>
      <c r="Q12" s="66"/>
    </row>
    <row r="13" spans="1:17" ht="91.5" customHeight="1">
      <c r="A13" s="351"/>
      <c r="B13" s="321" t="str">
        <f>'[1]1.Detailed budget'!D6</f>
        <v>1.1.3: Train 74 machinery operators</v>
      </c>
      <c r="C13" s="321" t="s">
        <v>21</v>
      </c>
      <c r="D13" s="63" t="str">
        <f>'1.Detailed budget'!F13</f>
        <v>Training, workshops, and conference</v>
      </c>
      <c r="E13" s="150" t="str">
        <f>'1.Detailed budget'!G13</f>
        <v>Workshops for the training of 35 machinery operators, on the maintenance and use of machinery and equipment that will be used in the project.</v>
      </c>
      <c r="F13" s="151"/>
      <c r="G13" s="64">
        <f>'1.Detailed budget'!H13</f>
        <v>7000</v>
      </c>
      <c r="H13" s="64">
        <f>'1.Detailed budget'!I13</f>
        <v>7000</v>
      </c>
      <c r="I13" s="64">
        <f>'1.Detailed budget'!J13</f>
        <v>0</v>
      </c>
      <c r="J13" s="64">
        <f>'1.Detailed budget'!K13</f>
        <v>0</v>
      </c>
      <c r="K13" s="64">
        <f>'1.Detailed budget'!L13</f>
        <v>0</v>
      </c>
      <c r="L13" s="64">
        <f>'1.Detailed budget'!M13</f>
        <v>0</v>
      </c>
      <c r="M13" s="64">
        <f>'1.Detailed budget'!N13</f>
        <v>0</v>
      </c>
      <c r="N13" s="64">
        <f t="shared" si="0"/>
        <v>14000</v>
      </c>
      <c r="O13" s="65" t="str">
        <f>'1.Detailed budget'!P13</f>
        <v>K</v>
      </c>
      <c r="P13" s="66"/>
      <c r="Q13" s="66"/>
    </row>
    <row r="14" spans="1:17" ht="43.5">
      <c r="A14" s="351"/>
      <c r="B14" s="322" t="str">
        <f>'[1]1.Detailed budget'!D9</f>
        <v>1.1.5: Construct 896 water security systems (storage facilities and irrigation)</v>
      </c>
      <c r="C14" s="321" t="s">
        <v>21</v>
      </c>
      <c r="D14" s="63" t="str">
        <f>'1.Detailed budget'!F15</f>
        <v>Equipment</v>
      </c>
      <c r="E14" s="150" t="str">
        <f>'1.Detailed budget'!G15</f>
        <v>Cost of construction of 452 excavated reservoir of diferent capacity, and 896 drip irrigation system with electric pumping unit.</v>
      </c>
      <c r="F14" s="151"/>
      <c r="G14" s="64">
        <f>'1.Detailed budget'!H15</f>
        <v>901770.78999999992</v>
      </c>
      <c r="H14" s="64">
        <f>'1.Detailed budget'!I15</f>
        <v>1768497.5199999998</v>
      </c>
      <c r="I14" s="64">
        <f>'1.Detailed budget'!J15</f>
        <v>2657669.25</v>
      </c>
      <c r="J14" s="64">
        <f>'1.Detailed budget'!K15</f>
        <v>2657669.25</v>
      </c>
      <c r="K14" s="64">
        <f>'1.Detailed budget'!L15</f>
        <v>901770.78999999992</v>
      </c>
      <c r="L14" s="64">
        <f>'1.Detailed budget'!M15</f>
        <v>0</v>
      </c>
      <c r="M14" s="64">
        <f>'1.Detailed budget'!N15</f>
        <v>0</v>
      </c>
      <c r="N14" s="64">
        <f t="shared" si="0"/>
        <v>8887377.5999999996</v>
      </c>
      <c r="O14" s="65" t="str">
        <f>'1.Detailed budget'!P15</f>
        <v>M</v>
      </c>
      <c r="P14" s="66"/>
      <c r="Q14" s="66"/>
    </row>
    <row r="15" spans="1:17" ht="60" customHeight="1">
      <c r="A15" s="351" t="str">
        <f>'[1]1.Detailed budget'!C20</f>
        <v>1.2 Restore approximately 20,189 ha of rangeland with compacted soils and increase CC-resilience through improved sylvopastoral systems (mitigation net co-benefit 703,225.3 million t CO2eq in 7 years of implementation).</v>
      </c>
      <c r="B15" s="351" t="str">
        <f>'[1]1.Detailed budget'!D20</f>
        <v>1.2.1: Procure and field identified technologies and equipment</v>
      </c>
      <c r="C15" s="351" t="s">
        <v>21</v>
      </c>
      <c r="D15" s="363" t="str">
        <f>'1.Detailed budget'!F20</f>
        <v>Equipment</v>
      </c>
      <c r="E15" s="330" t="str">
        <f>'1.Detailed budget'!G20</f>
        <v>Purchase and distribution of technology and equipment that will be used to establish two modules for sylvopastoral systems adapted to climate change.</v>
      </c>
      <c r="F15" s="321"/>
      <c r="G15" s="64">
        <f>'1.Detailed budget'!H20</f>
        <v>667468.70000000007</v>
      </c>
      <c r="H15" s="64">
        <f>'1.Detailed budget'!I20</f>
        <v>667468.70000000007</v>
      </c>
      <c r="I15" s="64">
        <f>'1.Detailed budget'!J20</f>
        <v>333734.35000000003</v>
      </c>
      <c r="J15" s="64">
        <f>'1.Detailed budget'!K20</f>
        <v>0</v>
      </c>
      <c r="K15" s="64">
        <f>'1.Detailed budget'!L20</f>
        <v>0</v>
      </c>
      <c r="L15" s="64">
        <f>'1.Detailed budget'!M20</f>
        <v>0</v>
      </c>
      <c r="M15" s="64">
        <f>'1.Detailed budget'!N20</f>
        <v>0</v>
      </c>
      <c r="N15" s="64">
        <f t="shared" ref="N15:N37" si="1">SUM(G15:M15)</f>
        <v>1668671.7500000002</v>
      </c>
      <c r="O15" s="331" t="str">
        <f>'1.Detailed budget'!P20</f>
        <v>R</v>
      </c>
      <c r="P15" s="66"/>
      <c r="Q15" s="66"/>
    </row>
    <row r="16" spans="1:17" ht="60" customHeight="1">
      <c r="A16" s="351"/>
      <c r="B16" s="351"/>
      <c r="C16" s="351"/>
      <c r="D16" s="363"/>
      <c r="E16" s="330" t="str">
        <f>'1.Detailed budget'!G21</f>
        <v xml:space="preserve">Implementation of operations and maintenance program of silvopastoral technologies </v>
      </c>
      <c r="F16" s="321"/>
      <c r="G16" s="64">
        <f>'1.Detailed budget'!H21</f>
        <v>38454.74086445634</v>
      </c>
      <c r="H16" s="64">
        <f>'1.Detailed budget'!I21</f>
        <v>38454.74086445634</v>
      </c>
      <c r="I16" s="64">
        <f>'1.Detailed budget'!J21</f>
        <v>38454.74086445634</v>
      </c>
      <c r="J16" s="64">
        <f>'1.Detailed budget'!K21</f>
        <v>38454.74086445634</v>
      </c>
      <c r="K16" s="64">
        <f>'1.Detailed budget'!L21</f>
        <v>38454.74086445634</v>
      </c>
      <c r="L16" s="64">
        <f>'1.Detailed budget'!M21</f>
        <v>38454.74086445634</v>
      </c>
      <c r="M16" s="64">
        <f>'1.Detailed budget'!N21</f>
        <v>38454.74086445634</v>
      </c>
      <c r="N16" s="64">
        <f t="shared" ref="N16" si="2">SUM(G16:M16)</f>
        <v>269183.18605119438</v>
      </c>
      <c r="O16" s="331" t="str">
        <f>'1.Detailed budget'!P21</f>
        <v>S</v>
      </c>
      <c r="P16" s="66"/>
      <c r="Q16" s="66"/>
    </row>
    <row r="17" spans="1:17" ht="60" customHeight="1">
      <c r="A17" s="351"/>
      <c r="B17" s="351"/>
      <c r="C17" s="351"/>
      <c r="D17" s="363"/>
      <c r="E17" s="330" t="str">
        <f>'1.Detailed budget'!G22</f>
        <v>Acquisition of inputs for the use in the establishment, management and grazing or forage cutting phase for the feeding of bovine cattle destined to the production of milk and meat.</v>
      </c>
      <c r="F17" s="321"/>
      <c r="G17" s="64">
        <f>'1.Detailed budget'!H22</f>
        <v>278138.30190000002</v>
      </c>
      <c r="H17" s="64">
        <f>'1.Detailed budget'!I22</f>
        <v>640276.60379999992</v>
      </c>
      <c r="I17" s="64">
        <f>'1.Detailed budget'!J22</f>
        <v>1086414.9057</v>
      </c>
      <c r="J17" s="64">
        <f>'1.Detailed budget'!K22</f>
        <v>1221716.6037999997</v>
      </c>
      <c r="K17" s="64">
        <f>'1.Detailed budget'!L22</f>
        <v>1033898.3018999998</v>
      </c>
      <c r="L17" s="64">
        <f>'1.Detailed budget'!M22</f>
        <v>898149.15095000004</v>
      </c>
      <c r="M17" s="64">
        <f>'1.Detailed budget'!N22</f>
        <v>898149.15095000004</v>
      </c>
      <c r="N17" s="64">
        <f t="shared" ref="N17:N20" si="3">SUM(G17:M17)</f>
        <v>6056743.0189999994</v>
      </c>
      <c r="O17" s="331" t="str">
        <f>'1.Detailed budget'!P22</f>
        <v>T</v>
      </c>
      <c r="P17" s="66"/>
      <c r="Q17" s="66"/>
    </row>
    <row r="18" spans="1:17" ht="60" customHeight="1">
      <c r="A18" s="351"/>
      <c r="B18" s="351"/>
      <c r="C18" s="351"/>
      <c r="D18" s="363"/>
      <c r="E18" s="330" t="str">
        <f>'1.Detailed budget'!G23</f>
        <v>Sequence of instalation and arrangement of the perimeter fences internal.</v>
      </c>
      <c r="F18" s="321"/>
      <c r="G18" s="64">
        <f>'1.Detailed budget'!H23</f>
        <v>222420</v>
      </c>
      <c r="H18" s="64">
        <f>'1.Detailed budget'!I23</f>
        <v>444180</v>
      </c>
      <c r="I18" s="64">
        <f>'1.Detailed budget'!J23</f>
        <v>667920</v>
      </c>
      <c r="J18" s="64">
        <f>'1.Detailed budget'!K23</f>
        <v>667920</v>
      </c>
      <c r="K18" s="64">
        <f>'1.Detailed budget'!L23</f>
        <v>222420</v>
      </c>
      <c r="L18" s="64">
        <f>'1.Detailed budget'!M23</f>
        <v>0</v>
      </c>
      <c r="M18" s="64">
        <f>'1.Detailed budget'!N23</f>
        <v>0</v>
      </c>
      <c r="N18" s="64">
        <f t="shared" si="3"/>
        <v>2224860</v>
      </c>
      <c r="O18" s="331" t="str">
        <f>'1.Detailed budget'!P23</f>
        <v>U</v>
      </c>
      <c r="P18" s="66"/>
      <c r="Q18" s="66"/>
    </row>
    <row r="19" spans="1:17" ht="60" customHeight="1">
      <c r="A19" s="351"/>
      <c r="B19" s="351"/>
      <c r="C19" s="351"/>
      <c r="D19" s="363"/>
      <c r="E19" s="330" t="str">
        <f>'1.Detailed budget'!G24</f>
        <v>Acquisition of synthetic fertilizer (NPK) to be used in the phases of establishment and development of of the sylvopastoral modules to be implemented on the project.</v>
      </c>
      <c r="F19" s="321"/>
      <c r="G19" s="64">
        <f>'1.Detailed budget'!H24</f>
        <v>15872.220000000001</v>
      </c>
      <c r="H19" s="64">
        <f>'1.Detailed budget'!I24</f>
        <v>31744.440000000002</v>
      </c>
      <c r="I19" s="64">
        <f>'1.Detailed budget'!J24</f>
        <v>47633.040000000008</v>
      </c>
      <c r="J19" s="64">
        <f>'1.Detailed budget'!K24</f>
        <v>47633.040000000008</v>
      </c>
      <c r="K19" s="64">
        <f>'1.Detailed budget'!L24</f>
        <v>15855.84</v>
      </c>
      <c r="L19" s="64">
        <f>'1.Detailed budget'!M24</f>
        <v>0</v>
      </c>
      <c r="M19" s="64">
        <f>'1.Detailed budget'!N24</f>
        <v>0</v>
      </c>
      <c r="N19" s="64">
        <f t="shared" si="3"/>
        <v>158738.58000000002</v>
      </c>
      <c r="O19" s="331" t="str">
        <f>'1.Detailed budget'!P24</f>
        <v>V</v>
      </c>
      <c r="P19" s="66"/>
      <c r="Q19" s="66"/>
    </row>
    <row r="20" spans="1:17" ht="60" customHeight="1">
      <c r="A20" s="351"/>
      <c r="B20" s="351"/>
      <c r="C20" s="351"/>
      <c r="D20" s="363"/>
      <c r="E20" s="330" t="str">
        <f>'1.Detailed budget'!G25</f>
        <v xml:space="preserve">Installation of biodigesters associated with the dairies that are part of the livestock systems with silvopastoralism and from other residuals (this facilitates the cooking of food, humanizes the process and allows them to save time to dedicate to other activities of their interest). </v>
      </c>
      <c r="F20" s="321"/>
      <c r="G20" s="64">
        <f>'1.Detailed budget'!H25</f>
        <v>0</v>
      </c>
      <c r="H20" s="64">
        <f>'1.Detailed budget'!I25</f>
        <v>4500</v>
      </c>
      <c r="I20" s="64">
        <f>'1.Detailed budget'!J25</f>
        <v>0</v>
      </c>
      <c r="J20" s="64">
        <f>'1.Detailed budget'!K25</f>
        <v>0</v>
      </c>
      <c r="K20" s="64">
        <f>'1.Detailed budget'!L25</f>
        <v>0</v>
      </c>
      <c r="L20" s="64">
        <f>'1.Detailed budget'!M25</f>
        <v>0</v>
      </c>
      <c r="M20" s="64">
        <f>'1.Detailed budget'!N25</f>
        <v>0</v>
      </c>
      <c r="N20" s="64">
        <f t="shared" si="3"/>
        <v>4500</v>
      </c>
      <c r="O20" s="331" t="str">
        <f>'1.Detailed budget'!P25</f>
        <v>W</v>
      </c>
      <c r="P20" s="66"/>
      <c r="Q20" s="66"/>
    </row>
    <row r="21" spans="1:17" ht="60" customHeight="1">
      <c r="A21" s="351"/>
      <c r="B21" s="351"/>
      <c r="C21" s="351"/>
      <c r="D21" s="363"/>
      <c r="E21" s="330" t="str">
        <f>'1.Detailed budget'!G26</f>
        <v xml:space="preserve">Creation or improvement of working conditions for the incorporation of women into the agricultural work of the modules to be implemented. (e.g. gender differentiated toilets will be created, and the conditions of existing toilets will be improved) </v>
      </c>
      <c r="F21" s="321"/>
      <c r="G21" s="64">
        <f>'1.Detailed budget'!H26</f>
        <v>6000</v>
      </c>
      <c r="H21" s="64">
        <f>'1.Detailed budget'!I26</f>
        <v>0</v>
      </c>
      <c r="I21" s="64">
        <f>'1.Detailed budget'!J26</f>
        <v>0</v>
      </c>
      <c r="J21" s="64">
        <f>'1.Detailed budget'!K26</f>
        <v>0</v>
      </c>
      <c r="K21" s="64">
        <f>'1.Detailed budget'!L26</f>
        <v>0</v>
      </c>
      <c r="L21" s="64">
        <f>'1.Detailed budget'!M26</f>
        <v>0</v>
      </c>
      <c r="M21" s="64">
        <f>'1.Detailed budget'!N26</f>
        <v>0</v>
      </c>
      <c r="N21" s="64">
        <f t="shared" ref="N21" si="4">SUM(G21:M21)</f>
        <v>6000</v>
      </c>
      <c r="O21" s="331" t="str">
        <f>'1.Detailed budget'!P26</f>
        <v>X</v>
      </c>
      <c r="P21" s="66"/>
      <c r="Q21" s="66"/>
    </row>
    <row r="22" spans="1:17" ht="43.5">
      <c r="A22" s="351"/>
      <c r="B22" s="351" t="str">
        <f>'1.Detailed budget'!D27</f>
        <v xml:space="preserve">1.2.2: Develop training materials </v>
      </c>
      <c r="C22" s="351" t="s">
        <v>21</v>
      </c>
      <c r="D22" s="431" t="str">
        <f>'1.Detailed budget'!F27</f>
        <v>Professional/ Contractual Services</v>
      </c>
      <c r="E22" s="330" t="str">
        <f>'1.Detailed budget'!G27</f>
        <v>Development of training material for the implementation of the two modules for sylvopastoral systems adapted to climate change.</v>
      </c>
      <c r="F22" s="321"/>
      <c r="G22" s="64">
        <f>'1.Detailed budget'!H27</f>
        <v>10500</v>
      </c>
      <c r="H22" s="64">
        <f>'1.Detailed budget'!I27</f>
        <v>4500</v>
      </c>
      <c r="I22" s="64">
        <f>'1.Detailed budget'!J27</f>
        <v>4500</v>
      </c>
      <c r="J22" s="64">
        <f>'1.Detailed budget'!K27</f>
        <v>0</v>
      </c>
      <c r="K22" s="64">
        <f>'1.Detailed budget'!L27</f>
        <v>0</v>
      </c>
      <c r="L22" s="64">
        <f>'1.Detailed budget'!M27</f>
        <v>0</v>
      </c>
      <c r="M22" s="64">
        <f>'1.Detailed budget'!N27</f>
        <v>0</v>
      </c>
      <c r="N22" s="64">
        <f t="shared" ref="N22" si="5">SUM(G22:M22)</f>
        <v>19500</v>
      </c>
      <c r="O22" s="331" t="str">
        <f>'1.Detailed budget'!P27</f>
        <v>Y</v>
      </c>
      <c r="P22" s="66"/>
      <c r="Q22" s="66"/>
    </row>
    <row r="23" spans="1:17" ht="72.599999999999994">
      <c r="A23" s="351"/>
      <c r="B23" s="351"/>
      <c r="C23" s="351"/>
      <c r="D23" s="431"/>
      <c r="E23" s="330" t="str">
        <f>'1.Detailed budget'!G28</f>
        <v>Development of training material for operations and maintenance of machinery that will be used on implementation of the two modules for sylvopastoral systems adapted to climate change of the project.</v>
      </c>
      <c r="F23" s="321"/>
      <c r="G23" s="64">
        <f>'1.Detailed budget'!H28</f>
        <v>2000</v>
      </c>
      <c r="H23" s="64">
        <f>'1.Detailed budget'!I28</f>
        <v>0</v>
      </c>
      <c r="I23" s="64">
        <f>'1.Detailed budget'!J28</f>
        <v>0</v>
      </c>
      <c r="J23" s="64">
        <f>'1.Detailed budget'!K28</f>
        <v>0</v>
      </c>
      <c r="K23" s="64">
        <f>'1.Detailed budget'!L28</f>
        <v>0</v>
      </c>
      <c r="L23" s="64">
        <f>'1.Detailed budget'!M28</f>
        <v>0</v>
      </c>
      <c r="M23" s="64">
        <f>'1.Detailed budget'!N28</f>
        <v>0</v>
      </c>
      <c r="N23" s="64">
        <f t="shared" ref="N23" si="6">SUM(G23:M23)</f>
        <v>2000</v>
      </c>
      <c r="O23" s="331" t="str">
        <f>'1.Detailed budget'!P28</f>
        <v>Z</v>
      </c>
      <c r="P23" s="66"/>
      <c r="Q23" s="66"/>
    </row>
    <row r="24" spans="1:17" ht="87">
      <c r="A24" s="351"/>
      <c r="B24" s="321" t="str">
        <f>'1.Detailed budget'!D29</f>
        <v xml:space="preserve">1.2.3: Train 68 machinery operators  </v>
      </c>
      <c r="C24" s="42" t="s">
        <v>21</v>
      </c>
      <c r="D24" s="63" t="str">
        <f>'1.Detailed budget'!F29</f>
        <v>Training, workshops, and conference</v>
      </c>
      <c r="E24" s="330" t="str">
        <f>'1.Detailed budget'!G29</f>
        <v>Workshops for the training of 68 machinery operators, on the maintenance and use of machinery and equipment that will be used on the sylvopastoral modules of the project, to improve 20,189 hectares of rangeland with compacted soils.</v>
      </c>
      <c r="F24" s="321"/>
      <c r="G24" s="64">
        <f>'1.Detailed budget'!H29</f>
        <v>7000</v>
      </c>
      <c r="H24" s="64">
        <f>'1.Detailed budget'!I29</f>
        <v>7000</v>
      </c>
      <c r="I24" s="64">
        <f>'1.Detailed budget'!J29</f>
        <v>0</v>
      </c>
      <c r="J24" s="64">
        <f>'1.Detailed budget'!K29</f>
        <v>0</v>
      </c>
      <c r="K24" s="64">
        <f>'1.Detailed budget'!L29</f>
        <v>0</v>
      </c>
      <c r="L24" s="64">
        <f>'1.Detailed budget'!M29</f>
        <v>0</v>
      </c>
      <c r="M24" s="64">
        <f>'1.Detailed budget'!N29</f>
        <v>0</v>
      </c>
      <c r="N24" s="64">
        <f t="shared" ref="N24" si="7">SUM(G24:M24)</f>
        <v>14000</v>
      </c>
      <c r="O24" s="331" t="str">
        <f>'1.Detailed budget'!P29</f>
        <v>AA</v>
      </c>
      <c r="P24" s="66"/>
      <c r="Q24" s="66"/>
    </row>
    <row r="25" spans="1:17" ht="43.5">
      <c r="A25" s="351"/>
      <c r="B25" s="321" t="str">
        <f>'1.Detailed budget'!D31</f>
        <v>1.2.5: Construct 11,362 small-scale water security systems (storage and livestock drinking facilities)</v>
      </c>
      <c r="C25" s="42" t="s">
        <v>21</v>
      </c>
      <c r="D25" s="63" t="str">
        <f>'1.Detailed budget'!F31</f>
        <v>Equipment</v>
      </c>
      <c r="E25" s="330" t="str">
        <f>'1.Detailed budget'!G31</f>
        <v>Cost of construction of 11,362 small-scale water security systems (storage and livestock drinking facilities)</v>
      </c>
      <c r="F25" s="321"/>
      <c r="G25" s="64">
        <f>'1.Detailed budget'!H31</f>
        <v>372725</v>
      </c>
      <c r="H25" s="64">
        <f>'1.Detailed budget'!I31</f>
        <v>744825</v>
      </c>
      <c r="I25" s="64">
        <f>'1.Detailed budget'!J31</f>
        <v>1118325</v>
      </c>
      <c r="J25" s="64">
        <f>'1.Detailed budget'!K31</f>
        <v>1118325</v>
      </c>
      <c r="K25" s="64">
        <f>'1.Detailed budget'!L31</f>
        <v>372725</v>
      </c>
      <c r="L25" s="64">
        <f>'1.Detailed budget'!M31</f>
        <v>0</v>
      </c>
      <c r="M25" s="64">
        <f>'1.Detailed budget'!N31</f>
        <v>0</v>
      </c>
      <c r="N25" s="64">
        <f t="shared" ref="N25" si="8">SUM(G25:M25)</f>
        <v>3726925</v>
      </c>
      <c r="O25" s="331" t="str">
        <f>'1.Detailed budget'!P31</f>
        <v>AC</v>
      </c>
      <c r="P25" s="66"/>
      <c r="Q25" s="66"/>
    </row>
    <row r="26" spans="1:17" ht="116.1">
      <c r="A26" s="351" t="str">
        <f>'[1]1.Detailed budget'!C36</f>
        <v>2.1 Increase institutional capacities to support farmers and producers’ organizations to establish and maintain agroforestry, sylvopastoral and forestry systems for improved ecosystem services</v>
      </c>
      <c r="B26" s="321" t="str">
        <f>'1.Detailed budget'!D36</f>
        <v>2.1.1: Develop training   materials for use by trainers of extensionists</v>
      </c>
      <c r="C26" s="321" t="s">
        <v>21</v>
      </c>
      <c r="D26" s="321" t="str">
        <f>'1.Detailed budget'!F36</f>
        <v>Professional/ Contractual Services</v>
      </c>
      <c r="E26" s="330" t="str">
        <f>'1.Detailed budget'!G36</f>
        <v>Development of training material on various topics that may include: no-till cultivation, inter-cropping, cut-and-carry forage feeding, sub-soiling, soil conservation with gabions, gully plugs, bunds, contour farming, agroforestry and sylvopastoral system design, application of efficient irrigation technologies and water harvesting and storage systems and others.</v>
      </c>
      <c r="F26" s="321"/>
      <c r="G26" s="64">
        <f>'1.Detailed budget'!H36</f>
        <v>3000</v>
      </c>
      <c r="H26" s="64">
        <f>'1.Detailed budget'!I36</f>
        <v>3000</v>
      </c>
      <c r="I26" s="64">
        <f>'1.Detailed budget'!J36</f>
        <v>3000</v>
      </c>
      <c r="J26" s="64">
        <f>'1.Detailed budget'!K36</f>
        <v>3000</v>
      </c>
      <c r="K26" s="64">
        <f>'1.Detailed budget'!L36</f>
        <v>3000</v>
      </c>
      <c r="L26" s="64">
        <f>'1.Detailed budget'!M36</f>
        <v>3000</v>
      </c>
      <c r="M26" s="64">
        <f>'1.Detailed budget'!N36</f>
        <v>0</v>
      </c>
      <c r="N26" s="64">
        <f t="shared" si="1"/>
        <v>18000</v>
      </c>
      <c r="O26" s="67" t="str">
        <f>'1.Detailed budget'!P36</f>
        <v>AG</v>
      </c>
      <c r="P26" s="66"/>
      <c r="Q26" s="66"/>
    </row>
    <row r="27" spans="1:17" ht="203.1">
      <c r="A27" s="351"/>
      <c r="B27" s="321" t="str">
        <f>'1.Detailed budget'!D37</f>
        <v>2.1.2: Train 443 extension service technicians, agricultural technicians, and cooperative leaders   to lead  farmers in gender and age-sensitive learning-by-doing regarding the implementation, operations and maintenance of their agroforestry or forestry systems; topics covered may include no-till cultivation; inter-cropping; cut-and-carry forage feeding; sub-soiling; soil conservation with gabions, gully plugs, bunds, and contour farming; agroforestry and sylvopastoral system design; application of efficient irrigation technologies and water harvesting and storage systems and others;</v>
      </c>
      <c r="C27" s="321" t="s">
        <v>21</v>
      </c>
      <c r="D27" s="322" t="str">
        <f>'1.Detailed budget'!F37</f>
        <v>Training, workshops, and conference</v>
      </c>
      <c r="E27" s="322" t="str">
        <f>'1.Detailed budget'!G37</f>
        <v xml:space="preserve">Workshops for the training of 443 extension service technicians, agricultural technicians, and cooperative leaders/administrators </v>
      </c>
      <c r="F27" s="321"/>
      <c r="G27" s="64">
        <f>'1.Detailed budget'!H37</f>
        <v>35000</v>
      </c>
      <c r="H27" s="64">
        <f>'1.Detailed budget'!I37</f>
        <v>15000</v>
      </c>
      <c r="I27" s="64">
        <f>'1.Detailed budget'!J37</f>
        <v>0</v>
      </c>
      <c r="J27" s="64">
        <f>'1.Detailed budget'!K37</f>
        <v>0</v>
      </c>
      <c r="K27" s="64">
        <f>'1.Detailed budget'!L37</f>
        <v>0</v>
      </c>
      <c r="L27" s="64">
        <f>'1.Detailed budget'!M37</f>
        <v>0</v>
      </c>
      <c r="M27" s="64">
        <f>'1.Detailed budget'!N37</f>
        <v>0</v>
      </c>
      <c r="N27" s="64">
        <f t="shared" si="1"/>
        <v>50000</v>
      </c>
      <c r="O27" s="67" t="str">
        <f>'1.Detailed budget'!P37</f>
        <v>AH</v>
      </c>
      <c r="P27" s="66"/>
      <c r="Q27" s="66"/>
    </row>
    <row r="28" spans="1:17" ht="135" customHeight="1">
      <c r="A28" s="351"/>
      <c r="B28" s="321" t="str">
        <f>'1.Detailed budget'!D38</f>
        <v>2.1.3: Development of supplementary learning materials and information on CC, ecosystem function and services, agroecology, agroforestry and forestry systems, and farm economics;</v>
      </c>
      <c r="C28" s="321" t="s">
        <v>21</v>
      </c>
      <c r="D28" s="322" t="str">
        <f>'1.Detailed budget'!F38</f>
        <v>Professional/ Contractual Services</v>
      </c>
      <c r="E28" s="322" t="str">
        <f>'1.Detailed budget'!G38</f>
        <v>Development of learning materials and information on climate change, ecosystem function and services, agroecology, agroforestry and forestry systems, and farm economics;</v>
      </c>
      <c r="F28" s="321"/>
      <c r="G28" s="64">
        <f>'1.Detailed budget'!H38</f>
        <v>20000</v>
      </c>
      <c r="H28" s="64">
        <f>'1.Detailed budget'!I38</f>
        <v>20000</v>
      </c>
      <c r="I28" s="64">
        <f>'1.Detailed budget'!J38</f>
        <v>0</v>
      </c>
      <c r="J28" s="64">
        <f>'1.Detailed budget'!K38</f>
        <v>0</v>
      </c>
      <c r="K28" s="64">
        <f>'1.Detailed budget'!L38</f>
        <v>0</v>
      </c>
      <c r="L28" s="64">
        <f>'1.Detailed budget'!M38</f>
        <v>0</v>
      </c>
      <c r="M28" s="64">
        <f>'1.Detailed budget'!N38</f>
        <v>0</v>
      </c>
      <c r="N28" s="64">
        <f t="shared" ref="N28" si="9">SUM(G28:M28)</f>
        <v>40000</v>
      </c>
      <c r="O28" s="67" t="str">
        <f>'1.Detailed budget'!P38</f>
        <v>AI</v>
      </c>
      <c r="P28" s="66"/>
      <c r="Q28" s="66"/>
    </row>
    <row r="29" spans="1:17" ht="90" customHeight="1">
      <c r="A29" s="351" t="str">
        <f>'[1]1.Detailed budget'!C39</f>
        <v xml:space="preserve">2.2 Train agricultural producers to collectively revitalize and manage production landscapes for gender-equitable climate-resilient agriculture and ecosystem services
</v>
      </c>
      <c r="B29" s="351" t="str">
        <f>'1.Detailed budget'!D39</f>
        <v>2.2.1: Establish or strengthen existing Farmer Field Schools (17) in the seven municipalities based on type of agroforestry, sylvopastoral or forestry system to be implemented and logistical and other considerations ;</v>
      </c>
      <c r="C29" s="351" t="s">
        <v>21</v>
      </c>
      <c r="D29" s="351" t="str">
        <f>'1.Detailed budget'!F39</f>
        <v>Professional/ Contractual Services</v>
      </c>
      <c r="E29" s="322" t="str">
        <f>'1.Detailed budget'!G39</f>
        <v>Establish or strengthen 17 Farmer Field Schools</v>
      </c>
      <c r="F29" s="321"/>
      <c r="G29" s="64">
        <f>'1.Detailed budget'!H39</f>
        <v>70000</v>
      </c>
      <c r="H29" s="64">
        <f>'1.Detailed budget'!I39</f>
        <v>70000</v>
      </c>
      <c r="I29" s="64">
        <f>'1.Detailed budget'!J39</f>
        <v>0</v>
      </c>
      <c r="J29" s="64">
        <f>'1.Detailed budget'!K39</f>
        <v>0</v>
      </c>
      <c r="K29" s="64">
        <f>'1.Detailed budget'!L39</f>
        <v>0</v>
      </c>
      <c r="L29" s="64">
        <f>'1.Detailed budget'!M39</f>
        <v>0</v>
      </c>
      <c r="M29" s="64">
        <f>'1.Detailed budget'!N39</f>
        <v>0</v>
      </c>
      <c r="N29" s="64">
        <f t="shared" ref="N29:N36" si="10">SUM(G29:M29)</f>
        <v>140000</v>
      </c>
      <c r="O29" s="67" t="str">
        <f>'1.Detailed budget'!P39</f>
        <v>AJ</v>
      </c>
      <c r="P29" s="66"/>
      <c r="Q29" s="66"/>
    </row>
    <row r="30" spans="1:17" ht="90" customHeight="1">
      <c r="A30" s="351"/>
      <c r="B30" s="351"/>
      <c r="C30" s="351"/>
      <c r="D30" s="351"/>
      <c r="E30" s="322" t="str">
        <f>'1.Detailed budget'!G40</f>
        <v>Gender diagnosis and reports of results of the implementation of the gender action plan action plan.</v>
      </c>
      <c r="F30" s="321"/>
      <c r="G30" s="64">
        <f>'1.Detailed budget'!H40</f>
        <v>9500</v>
      </c>
      <c r="H30" s="64">
        <f>'1.Detailed budget'!I40</f>
        <v>0</v>
      </c>
      <c r="I30" s="64">
        <f>'1.Detailed budget'!J40</f>
        <v>0</v>
      </c>
      <c r="J30" s="64">
        <f>'1.Detailed budget'!K40</f>
        <v>5000</v>
      </c>
      <c r="K30" s="64">
        <f>'1.Detailed budget'!L40</f>
        <v>0</v>
      </c>
      <c r="L30" s="64">
        <f>'1.Detailed budget'!M40</f>
        <v>0</v>
      </c>
      <c r="M30" s="64">
        <f>'1.Detailed budget'!N40</f>
        <v>5000</v>
      </c>
      <c r="N30" s="64">
        <f t="shared" si="10"/>
        <v>19500</v>
      </c>
      <c r="O30" s="67" t="str">
        <f>'1.Detailed budget'!P40</f>
        <v>AK</v>
      </c>
      <c r="P30" s="66"/>
      <c r="Q30" s="66"/>
    </row>
    <row r="31" spans="1:17" ht="116.1">
      <c r="A31" s="351"/>
      <c r="B31" s="351"/>
      <c r="C31" s="351"/>
      <c r="D31" s="351"/>
      <c r="E31" s="322" t="str">
        <f>'1.Detailed budget'!G41</f>
        <v>Design and implementation of a training, sensitization or knowledge management program for technical producers, extensionists and beneficiary personnel in general, focused on the differentiated needs of men and women (possible topics to be included): Gender and CC, Resilience with a gender perspective, gender violence, masculinities)</v>
      </c>
      <c r="F31" s="321"/>
      <c r="G31" s="64">
        <f>'1.Detailed budget'!H41</f>
        <v>12000</v>
      </c>
      <c r="H31" s="64">
        <f>'1.Detailed budget'!I41</f>
        <v>8000</v>
      </c>
      <c r="I31" s="64">
        <f>'1.Detailed budget'!J41</f>
        <v>8000</v>
      </c>
      <c r="J31" s="64">
        <f>'1.Detailed budget'!K41</f>
        <v>8000</v>
      </c>
      <c r="K31" s="64">
        <f>'1.Detailed budget'!L41</f>
        <v>8000</v>
      </c>
      <c r="L31" s="64">
        <f>'1.Detailed budget'!M41</f>
        <v>8000</v>
      </c>
      <c r="M31" s="64">
        <f>'1.Detailed budget'!N41</f>
        <v>8000</v>
      </c>
      <c r="N31" s="64">
        <f t="shared" si="10"/>
        <v>60000</v>
      </c>
      <c r="O31" s="67" t="str">
        <f>'1.Detailed budget'!P41</f>
        <v>AL</v>
      </c>
      <c r="P31" s="66"/>
      <c r="Q31" s="66"/>
    </row>
    <row r="32" spans="1:17" ht="72.599999999999994">
      <c r="A32" s="351"/>
      <c r="B32" s="351"/>
      <c r="C32" s="351"/>
      <c r="D32" s="351"/>
      <c r="E32" s="322" t="str">
        <f>'1.Detailed budget'!G42</f>
        <v>Carry out a women`s leadership training workshop to promote women's exercise of leadership, taking into account their knowledge, skills and experiences, to meet their basic and strategic needs.</v>
      </c>
      <c r="F32" s="321"/>
      <c r="G32" s="64">
        <f>'1.Detailed budget'!H42</f>
        <v>4500</v>
      </c>
      <c r="H32" s="64">
        <f>'1.Detailed budget'!I42</f>
        <v>0</v>
      </c>
      <c r="I32" s="64">
        <f>'1.Detailed budget'!J42</f>
        <v>0</v>
      </c>
      <c r="J32" s="64">
        <f>'1.Detailed budget'!K42</f>
        <v>0</v>
      </c>
      <c r="K32" s="64">
        <f>'1.Detailed budget'!L42</f>
        <v>0</v>
      </c>
      <c r="L32" s="64">
        <f>'1.Detailed budget'!M42</f>
        <v>0</v>
      </c>
      <c r="M32" s="64">
        <f>'1.Detailed budget'!N42</f>
        <v>0</v>
      </c>
      <c r="N32" s="64">
        <f t="shared" si="10"/>
        <v>4500</v>
      </c>
      <c r="O32" s="67" t="str">
        <f>'1.Detailed budget'!P42</f>
        <v>AM</v>
      </c>
      <c r="P32" s="66"/>
      <c r="Q32" s="66"/>
    </row>
    <row r="33" spans="1:17" ht="29.1">
      <c r="A33" s="351"/>
      <c r="B33" s="351"/>
      <c r="C33" s="351"/>
      <c r="D33" s="351"/>
      <c r="E33" s="322" t="str">
        <f>'1.Detailed budget'!G43</f>
        <v>GCF. Monitoring professional / contractual services.  Baseline.</v>
      </c>
      <c r="F33" s="321"/>
      <c r="G33" s="64">
        <f>'1.Detailed budget'!H43</f>
        <v>50000</v>
      </c>
      <c r="H33" s="64">
        <f>'1.Detailed budget'!I43</f>
        <v>0</v>
      </c>
      <c r="I33" s="64">
        <f>'1.Detailed budget'!J43</f>
        <v>0</v>
      </c>
      <c r="J33" s="64">
        <f>'1.Detailed budget'!K43</f>
        <v>0</v>
      </c>
      <c r="K33" s="64">
        <f>'1.Detailed budget'!L43</f>
        <v>0</v>
      </c>
      <c r="L33" s="64">
        <f>'1.Detailed budget'!M43</f>
        <v>0</v>
      </c>
      <c r="M33" s="64">
        <f>'1.Detailed budget'!N43</f>
        <v>0</v>
      </c>
      <c r="N33" s="64">
        <f t="shared" ref="N33:N35" si="11">SUM(G33:M33)</f>
        <v>50000</v>
      </c>
      <c r="O33" s="67" t="str">
        <f>'1.Detailed budget'!P43</f>
        <v>AN</v>
      </c>
      <c r="P33" s="66"/>
      <c r="Q33" s="66"/>
    </row>
    <row r="34" spans="1:17" ht="60" customHeight="1">
      <c r="A34" s="351"/>
      <c r="B34" s="351" t="str">
        <f>'[1]1.Detailed budget'!D43</f>
        <v>2.2.2: Implementation of 17 Farmer Field Schools and training of 15,549   farmers using the participatory research and learning-by-doing approach.</v>
      </c>
      <c r="C34" s="351" t="s">
        <v>21</v>
      </c>
      <c r="D34" s="351" t="str">
        <f>'1.Detailed budget'!F44</f>
        <v>Training, workshops, and conference</v>
      </c>
      <c r="E34" s="322" t="str">
        <f>'1.Detailed budget'!G44</f>
        <v>Workshops and technical sessions, exchanges</v>
      </c>
      <c r="F34" s="321"/>
      <c r="G34" s="64">
        <f>'1.Detailed budget'!H44</f>
        <v>40000</v>
      </c>
      <c r="H34" s="64">
        <f>'1.Detailed budget'!I44</f>
        <v>40000</v>
      </c>
      <c r="I34" s="64">
        <f>'1.Detailed budget'!J44</f>
        <v>20000</v>
      </c>
      <c r="J34" s="64">
        <f>'1.Detailed budget'!K44</f>
        <v>20000</v>
      </c>
      <c r="K34" s="64">
        <f>'1.Detailed budget'!L44</f>
        <v>8000</v>
      </c>
      <c r="L34" s="64">
        <f>'1.Detailed budget'!M44</f>
        <v>8000</v>
      </c>
      <c r="M34" s="64">
        <f>'1.Detailed budget'!N44</f>
        <v>8000</v>
      </c>
      <c r="N34" s="64">
        <f t="shared" si="11"/>
        <v>144000</v>
      </c>
      <c r="O34" s="67" t="str">
        <f>'1.Detailed budget'!P44</f>
        <v>AO</v>
      </c>
      <c r="P34" s="66"/>
      <c r="Q34" s="66"/>
    </row>
    <row r="35" spans="1:17" ht="135" customHeight="1">
      <c r="A35" s="351"/>
      <c r="B35" s="351"/>
      <c r="C35" s="351"/>
      <c r="D35" s="351"/>
      <c r="E35" s="322" t="str">
        <f>'1.Detailed budget'!G45</f>
        <v>Support to project extension team</v>
      </c>
      <c r="F35" s="321"/>
      <c r="G35" s="64">
        <f>'1.Detailed budget'!H45</f>
        <v>34410</v>
      </c>
      <c r="H35" s="64">
        <f>'1.Detailed budget'!I45</f>
        <v>34410</v>
      </c>
      <c r="I35" s="64">
        <f>'1.Detailed budget'!J45</f>
        <v>34410</v>
      </c>
      <c r="J35" s="64">
        <f>'1.Detailed budget'!K45</f>
        <v>34410</v>
      </c>
      <c r="K35" s="64">
        <f>'1.Detailed budget'!L45</f>
        <v>34410</v>
      </c>
      <c r="L35" s="64">
        <f>'1.Detailed budget'!M45</f>
        <v>34410</v>
      </c>
      <c r="M35" s="64">
        <f>'1.Detailed budget'!N45</f>
        <v>34410</v>
      </c>
      <c r="N35" s="64">
        <f t="shared" si="11"/>
        <v>240870</v>
      </c>
      <c r="O35" s="67" t="str">
        <f>'1.Detailed budget'!P45</f>
        <v>AP</v>
      </c>
      <c r="P35" s="66"/>
      <c r="Q35" s="66"/>
    </row>
    <row r="36" spans="1:17">
      <c r="A36" s="351"/>
      <c r="B36" s="351"/>
      <c r="C36" s="351"/>
      <c r="D36" s="351"/>
      <c r="E36" s="322" t="str">
        <f>'1.Detailed budget'!G46</f>
        <v>Training and courses</v>
      </c>
      <c r="F36" s="321"/>
      <c r="G36" s="64">
        <f>'1.Detailed budget'!H46</f>
        <v>15000</v>
      </c>
      <c r="H36" s="64">
        <f>'1.Detailed budget'!I46</f>
        <v>15000</v>
      </c>
      <c r="I36" s="64">
        <f>'1.Detailed budget'!J46</f>
        <v>7500</v>
      </c>
      <c r="J36" s="64">
        <f>'1.Detailed budget'!K46</f>
        <v>7500</v>
      </c>
      <c r="K36" s="64">
        <f>'1.Detailed budget'!L46</f>
        <v>7500</v>
      </c>
      <c r="L36" s="64">
        <f>'1.Detailed budget'!M46</f>
        <v>7500</v>
      </c>
      <c r="M36" s="64">
        <f>'1.Detailed budget'!N46</f>
        <v>0</v>
      </c>
      <c r="N36" s="64">
        <f t="shared" si="10"/>
        <v>60000</v>
      </c>
      <c r="O36" s="67" t="str">
        <f>'1.Detailed budget'!P46</f>
        <v>AQ</v>
      </c>
      <c r="P36" s="66"/>
      <c r="Q36" s="66"/>
    </row>
    <row r="37" spans="1:17" ht="105" customHeight="1">
      <c r="A37" s="351" t="str">
        <f>'[1]1.Detailed budget'!C48</f>
        <v>3.1 Develop, discuss and analyze options for policy reforms to support implementation of agroforestry, sylvopastoral and forestry systems for landscape resilience through improved ecosystem services</v>
      </c>
      <c r="B37" s="351" t="str">
        <f>'1.Detailed budget'!D48</f>
        <v xml:space="preserve">3.1.1: Ten workshops with expert assistance and input (international and national experts) to facilitate inter-institutional analyses and discussions regarding policy objectives, needs and options for the modification or reform of agricultural and land-use policy; </v>
      </c>
      <c r="C37" s="351" t="s">
        <v>21</v>
      </c>
      <c r="D37" s="351" t="str">
        <f>'1.Detailed budget'!F48</f>
        <v>Professional/ Contractual Services</v>
      </c>
      <c r="E37" s="330" t="str">
        <f>'1.Detailed budget'!G48</f>
        <v>Workshops with experts</v>
      </c>
      <c r="F37" s="321"/>
      <c r="G37" s="330">
        <f>'1.Detailed budget'!H48</f>
        <v>0</v>
      </c>
      <c r="H37" s="330">
        <f>'1.Detailed budget'!I48</f>
        <v>2500</v>
      </c>
      <c r="I37" s="330">
        <f>'1.Detailed budget'!J48</f>
        <v>2500</v>
      </c>
      <c r="J37" s="330">
        <f>'1.Detailed budget'!K48</f>
        <v>5000</v>
      </c>
      <c r="K37" s="330">
        <f>'1.Detailed budget'!L48</f>
        <v>2500</v>
      </c>
      <c r="L37" s="330">
        <f>'1.Detailed budget'!M48</f>
        <v>0</v>
      </c>
      <c r="M37" s="330">
        <f>'1.Detailed budget'!N48</f>
        <v>0</v>
      </c>
      <c r="N37" s="64">
        <f t="shared" si="1"/>
        <v>12500</v>
      </c>
      <c r="O37" s="67" t="str">
        <f>'1.Detailed budget'!P48</f>
        <v>AR</v>
      </c>
      <c r="P37" s="66"/>
      <c r="Q37" s="66"/>
    </row>
    <row r="38" spans="1:17">
      <c r="A38" s="351"/>
      <c r="B38" s="351"/>
      <c r="C38" s="351"/>
      <c r="D38" s="351"/>
      <c r="E38" s="330" t="str">
        <f>'1.Detailed budget'!G49</f>
        <v>Program of environmental and social safeguards</v>
      </c>
      <c r="F38" s="321"/>
      <c r="G38" s="330">
        <f>'1.Detailed budget'!H49</f>
        <v>58476.703296703337</v>
      </c>
      <c r="H38" s="330">
        <f>'1.Detailed budget'!I49</f>
        <v>41170.549450549435</v>
      </c>
      <c r="I38" s="330">
        <f>'1.Detailed budget'!J49</f>
        <v>22670.549450549443</v>
      </c>
      <c r="J38" s="330">
        <f>'1.Detailed budget'!K49</f>
        <v>38837.216117216034</v>
      </c>
      <c r="K38" s="330">
        <f>'1.Detailed budget'!L49</f>
        <v>22670.549450549443</v>
      </c>
      <c r="L38" s="330">
        <f>'1.Detailed budget'!M49</f>
        <v>15250.59485595484</v>
      </c>
      <c r="M38" s="330">
        <f>'1.Detailed budget'!N49</f>
        <v>38923.837378477336</v>
      </c>
      <c r="N38" s="64">
        <f t="shared" ref="N38" si="12">SUM(G38:M38)</f>
        <v>237999.99999999985</v>
      </c>
      <c r="O38" s="67" t="str">
        <f>'1.Detailed budget'!P49</f>
        <v>AS</v>
      </c>
      <c r="P38" s="66"/>
      <c r="Q38" s="66"/>
    </row>
    <row r="39" spans="1:17" ht="45" customHeight="1">
      <c r="A39" s="351"/>
      <c r="B39" s="321" t="str">
        <f>'[1]1.Detailed budget'!D50</f>
        <v>3.1.2: Definition and discussion of institutional modifications or adaptations in support of the different options for policy reforms to support landscape resilience through improved ecosystem services;</v>
      </c>
      <c r="C39" s="42" t="s">
        <v>21</v>
      </c>
      <c r="D39" s="351" t="str">
        <f>'[1]1.Detailed budget'!F50</f>
        <v>International Consultants</v>
      </c>
      <c r="E39" s="429" t="str">
        <f>'[1]1.Detailed budget'!G50</f>
        <v>International consultancies for the formulation of proposals for reforms of policy, regulatory, planning instruments</v>
      </c>
      <c r="F39" s="351"/>
      <c r="G39" s="430">
        <f>'1.Detailed budget'!H50</f>
        <v>0</v>
      </c>
      <c r="H39" s="430">
        <f>'1.Detailed budget'!I50</f>
        <v>2000</v>
      </c>
      <c r="I39" s="430">
        <f>'1.Detailed budget'!J50</f>
        <v>2000</v>
      </c>
      <c r="J39" s="430">
        <f>'1.Detailed budget'!K50</f>
        <v>2000</v>
      </c>
      <c r="K39" s="430">
        <f>'1.Detailed budget'!L50</f>
        <v>1000</v>
      </c>
      <c r="L39" s="430">
        <f>'1.Detailed budget'!M50</f>
        <v>0</v>
      </c>
      <c r="M39" s="430">
        <f>'1.Detailed budget'!N50</f>
        <v>0</v>
      </c>
      <c r="N39" s="430">
        <f t="shared" ref="N39" si="13">SUM(G39:M39)</f>
        <v>7000</v>
      </c>
      <c r="O39" s="430" t="str">
        <f>'1.Detailed budget'!P50</f>
        <v>AT</v>
      </c>
      <c r="P39" s="428"/>
      <c r="Q39" s="428"/>
    </row>
    <row r="40" spans="1:17" ht="29.1">
      <c r="A40" s="351"/>
      <c r="B40" s="321" t="str">
        <f>'[1]1.Detailed budget'!D51</f>
        <v>3.1.3: Development of specific proposals for policy reforms;</v>
      </c>
      <c r="C40" s="42" t="s">
        <v>21</v>
      </c>
      <c r="D40" s="351"/>
      <c r="E40" s="429"/>
      <c r="F40" s="351"/>
      <c r="G40" s="430"/>
      <c r="H40" s="430"/>
      <c r="I40" s="430"/>
      <c r="J40" s="430"/>
      <c r="K40" s="430"/>
      <c r="L40" s="430"/>
      <c r="M40" s="430"/>
      <c r="N40" s="430"/>
      <c r="O40" s="430"/>
      <c r="P40" s="428"/>
      <c r="Q40" s="428"/>
    </row>
    <row r="41" spans="1:17" ht="15" customHeight="1">
      <c r="A41" s="351"/>
      <c r="B41" s="330" t="str">
        <f>'1.Detailed budget'!D52</f>
        <v>3.1.4: Discussion of reform proposals at national level.</v>
      </c>
      <c r="C41" s="330" t="str">
        <f>'1.Detailed budget'!E52</f>
        <v>GCF</v>
      </c>
      <c r="D41" s="330" t="str">
        <f>'1.Detailed budget'!F52</f>
        <v>Local consultants</v>
      </c>
      <c r="E41" s="330" t="str">
        <f>'1.Detailed budget'!G52</f>
        <v>Consultancies for the the discussion of reform proposals at national level.</v>
      </c>
      <c r="F41" s="321"/>
      <c r="G41" s="330">
        <f>'1.Detailed budget'!H52</f>
        <v>0</v>
      </c>
      <c r="H41" s="330">
        <f>'1.Detailed budget'!I52</f>
        <v>2000</v>
      </c>
      <c r="I41" s="330">
        <f>'1.Detailed budget'!J52</f>
        <v>1000</v>
      </c>
      <c r="J41" s="330">
        <f>'1.Detailed budget'!K52</f>
        <v>0</v>
      </c>
      <c r="K41" s="330">
        <f>'1.Detailed budget'!L52</f>
        <v>0</v>
      </c>
      <c r="L41" s="330">
        <f>'1.Detailed budget'!M52</f>
        <v>0</v>
      </c>
      <c r="M41" s="330">
        <f>'1.Detailed budget'!N52</f>
        <v>0</v>
      </c>
      <c r="N41" s="64">
        <f t="shared" ref="N41:N52" si="14">SUM(G41:M41)</f>
        <v>3000</v>
      </c>
      <c r="O41" s="330" t="str">
        <f>'1.Detailed budget'!P52</f>
        <v>AU</v>
      </c>
      <c r="P41" s="66"/>
      <c r="Q41" s="66"/>
    </row>
    <row r="42" spans="1:17" ht="43.5">
      <c r="A42" s="351" t="str">
        <f>'[1]1.Detailed budget'!C53</f>
        <v>3.2 Establish a Landscape Resilience Fund to support adoption and implementation of agroforestry, sylvopastoral and forestry systems in support of landscape resilience through ecosystem service enhancement</v>
      </c>
      <c r="B42" s="330" t="str">
        <f>'1.Detailed budget'!D53</f>
        <v>3.2.1: Expert analyses of existing funds (FONADEF, SCF) and other funds both regionally and globally;</v>
      </c>
      <c r="C42" s="330" t="str">
        <f>'1.Detailed budget'!E53</f>
        <v>GCF</v>
      </c>
      <c r="D42" s="330" t="str">
        <f>'1.Detailed budget'!F53</f>
        <v>International Consultants</v>
      </c>
      <c r="E42" s="330" t="str">
        <f>'1.Detailed budget'!G53</f>
        <v>International consultancies for the analyses of existing funds and formulation of proposals</v>
      </c>
      <c r="F42" s="321"/>
      <c r="G42" s="330">
        <f>'1.Detailed budget'!H53</f>
        <v>2000</v>
      </c>
      <c r="H42" s="330">
        <f>'1.Detailed budget'!I53</f>
        <v>2000</v>
      </c>
      <c r="I42" s="330">
        <f>'1.Detailed budget'!J53</f>
        <v>4000</v>
      </c>
      <c r="J42" s="330">
        <f>'1.Detailed budget'!K53</f>
        <v>0</v>
      </c>
      <c r="K42" s="330">
        <f>'1.Detailed budget'!L53</f>
        <v>0</v>
      </c>
      <c r="L42" s="330">
        <f>'1.Detailed budget'!M53</f>
        <v>0</v>
      </c>
      <c r="M42" s="330">
        <f>'1.Detailed budget'!N53</f>
        <v>0</v>
      </c>
      <c r="N42" s="64">
        <f t="shared" ref="N42:N44" si="15">SUM(G42:M42)</f>
        <v>8000</v>
      </c>
      <c r="O42" s="330" t="str">
        <f>'1.Detailed budget'!P53</f>
        <v>AV</v>
      </c>
      <c r="P42" s="66"/>
      <c r="Q42" s="66"/>
    </row>
    <row r="43" spans="1:17" ht="57.95">
      <c r="A43" s="351"/>
      <c r="B43" s="330" t="str">
        <f>'1.Detailed budget'!D54</f>
        <v>3.2.2: Ten workshops to analyze and develop options for a Landscape Resilience Fund to support implementation of landscape resilience policies on the ground;</v>
      </c>
      <c r="C43" s="330" t="str">
        <f>'1.Detailed budget'!E54</f>
        <v>GCF</v>
      </c>
      <c r="D43" s="330" t="str">
        <f>'1.Detailed budget'!F54</f>
        <v>Training, workshops, and conference</v>
      </c>
      <c r="E43" s="330" t="str">
        <f>'1.Detailed budget'!G54</f>
        <v>Workshops  to analyze and develop policies and mechanisms regarding financial mechanisms and economic instruments</v>
      </c>
      <c r="F43" s="321"/>
      <c r="G43" s="330">
        <f>'1.Detailed budget'!H54</f>
        <v>7500</v>
      </c>
      <c r="H43" s="330">
        <f>'1.Detailed budget'!I54</f>
        <v>10000</v>
      </c>
      <c r="I43" s="330">
        <f>'1.Detailed budget'!J54</f>
        <v>7500</v>
      </c>
      <c r="J43" s="330">
        <f>'1.Detailed budget'!K54</f>
        <v>5000</v>
      </c>
      <c r="K43" s="330">
        <f>'1.Detailed budget'!L54</f>
        <v>0</v>
      </c>
      <c r="L43" s="330">
        <f>'1.Detailed budget'!M54</f>
        <v>0</v>
      </c>
      <c r="M43" s="330">
        <f>'1.Detailed budget'!N54</f>
        <v>0</v>
      </c>
      <c r="N43" s="64">
        <f t="shared" si="15"/>
        <v>30000</v>
      </c>
      <c r="O43" s="330" t="str">
        <f>'1.Detailed budget'!P54</f>
        <v>AW</v>
      </c>
      <c r="P43" s="66"/>
      <c r="Q43" s="66"/>
    </row>
    <row r="44" spans="1:17" ht="43.5">
      <c r="A44" s="351"/>
      <c r="B44" s="330" t="str">
        <f>'1.Detailed budget'!D55</f>
        <v>3.2.3: Design of a Landscape Resilience Fund to support resilience-enhancing land use by farmers and producers’ organizations;</v>
      </c>
      <c r="C44" s="330" t="str">
        <f>'1.Detailed budget'!E55</f>
        <v>GCF</v>
      </c>
      <c r="D44" s="330" t="str">
        <f>'1.Detailed budget'!F55</f>
        <v>International Consultants</v>
      </c>
      <c r="E44" s="330" t="str">
        <f>'1.Detailed budget'!G55</f>
        <v>Consultancies for the design of a landscape resilience fund.</v>
      </c>
      <c r="F44" s="321"/>
      <c r="G44" s="330">
        <f>'1.Detailed budget'!H55</f>
        <v>0</v>
      </c>
      <c r="H44" s="330">
        <f>'1.Detailed budget'!I55</f>
        <v>7500</v>
      </c>
      <c r="I44" s="330">
        <f>'1.Detailed budget'!J55</f>
        <v>10000</v>
      </c>
      <c r="J44" s="330">
        <f>'1.Detailed budget'!K55</f>
        <v>7500</v>
      </c>
      <c r="K44" s="330">
        <f>'1.Detailed budget'!L55</f>
        <v>5000</v>
      </c>
      <c r="L44" s="330">
        <f>'1.Detailed budget'!M55</f>
        <v>0</v>
      </c>
      <c r="M44" s="330">
        <f>'1.Detailed budget'!N55</f>
        <v>0</v>
      </c>
      <c r="N44" s="64">
        <f t="shared" si="15"/>
        <v>30000</v>
      </c>
      <c r="O44" s="330" t="str">
        <f>'1.Detailed budget'!P55</f>
        <v>AX</v>
      </c>
      <c r="P44" s="66"/>
      <c r="Q44" s="66"/>
    </row>
    <row r="45" spans="1:17" ht="43.5">
      <c r="A45" s="351"/>
      <c r="B45" s="359" t="str">
        <f>'[1]1.Detailed budget'!D57</f>
        <v>3.2.5: Elaboration of communication strategy and materials, and dissemination.</v>
      </c>
      <c r="C45" s="351" t="s">
        <v>21</v>
      </c>
      <c r="D45" s="330" t="str">
        <f>'1.Detailed budget'!F57</f>
        <v>International Consultants</v>
      </c>
      <c r="E45" s="330" t="str">
        <f>'1.Detailed budget'!G57</f>
        <v>Design and implementation of a gender-sensitive communication and dissemination program or strategy.</v>
      </c>
      <c r="F45" s="321"/>
      <c r="G45" s="330">
        <f>'1.Detailed budget'!H57</f>
        <v>6000</v>
      </c>
      <c r="H45" s="330">
        <f>'1.Detailed budget'!I57</f>
        <v>0</v>
      </c>
      <c r="I45" s="330">
        <f>'1.Detailed budget'!J57</f>
        <v>0</v>
      </c>
      <c r="J45" s="330">
        <f>'1.Detailed budget'!K57</f>
        <v>2500</v>
      </c>
      <c r="K45" s="330">
        <f>'1.Detailed budget'!L57</f>
        <v>0</v>
      </c>
      <c r="L45" s="330">
        <f>'1.Detailed budget'!M57</f>
        <v>0</v>
      </c>
      <c r="M45" s="330">
        <f>'1.Detailed budget'!N57</f>
        <v>2500</v>
      </c>
      <c r="N45" s="64">
        <f t="shared" ref="N45:N47" si="16">SUM(G45:M45)</f>
        <v>11000</v>
      </c>
      <c r="O45" s="330" t="str">
        <f>'1.Detailed budget'!P57</f>
        <v>AZ</v>
      </c>
      <c r="P45" s="66"/>
      <c r="Q45" s="66"/>
    </row>
    <row r="46" spans="1:17" ht="72.599999999999994">
      <c r="A46" s="351"/>
      <c r="B46" s="359"/>
      <c r="C46" s="351"/>
      <c r="D46" s="429" t="str">
        <f>'1.Detailed budget'!F58</f>
        <v>Local consultants</v>
      </c>
      <c r="E46" s="330" t="str">
        <f>'1.Detailed budget'!G58</f>
        <v>Elaboration and implementation of gender action plans at the level of each beneficiary entity that take into account the basic and strategic needs, knowledge and skills of the communities, especially women.</v>
      </c>
      <c r="F46" s="321"/>
      <c r="G46" s="330">
        <f>'1.Detailed budget'!H58</f>
        <v>3500</v>
      </c>
      <c r="H46" s="330">
        <f>'1.Detailed budget'!I58</f>
        <v>4000</v>
      </c>
      <c r="I46" s="330">
        <f>'1.Detailed budget'!J58</f>
        <v>0</v>
      </c>
      <c r="J46" s="330">
        <f>'1.Detailed budget'!K58</f>
        <v>0</v>
      </c>
      <c r="K46" s="330">
        <f>'1.Detailed budget'!L58</f>
        <v>0</v>
      </c>
      <c r="L46" s="330">
        <f>'1.Detailed budget'!M58</f>
        <v>0</v>
      </c>
      <c r="M46" s="330">
        <f>'1.Detailed budget'!N58</f>
        <v>0</v>
      </c>
      <c r="N46" s="64">
        <f t="shared" si="16"/>
        <v>7500</v>
      </c>
      <c r="O46" s="330" t="str">
        <f>'1.Detailed budget'!P58</f>
        <v>BA</v>
      </c>
      <c r="P46" s="66"/>
      <c r="Q46" s="66"/>
    </row>
    <row r="47" spans="1:17" ht="43.5">
      <c r="A47" s="351"/>
      <c r="B47" s="359"/>
      <c r="C47" s="351"/>
      <c r="D47" s="429"/>
      <c r="E47" s="330" t="str">
        <f>'1.Detailed budget'!G59</f>
        <v xml:space="preserve"> Identification of a map of key actors working on gender in each zone to establish strategic alliances and joint actions.</v>
      </c>
      <c r="F47" s="321"/>
      <c r="G47" s="330">
        <f>'1.Detailed budget'!H59</f>
        <v>5000</v>
      </c>
      <c r="H47" s="330">
        <f>'1.Detailed budget'!I59</f>
        <v>0</v>
      </c>
      <c r="I47" s="330">
        <f>'1.Detailed budget'!J59</f>
        <v>0</v>
      </c>
      <c r="J47" s="330">
        <f>'1.Detailed budget'!K59</f>
        <v>0</v>
      </c>
      <c r="K47" s="330">
        <f>'1.Detailed budget'!L59</f>
        <v>0</v>
      </c>
      <c r="L47" s="330">
        <f>'1.Detailed budget'!M59</f>
        <v>0</v>
      </c>
      <c r="M47" s="330">
        <f>'1.Detailed budget'!N59</f>
        <v>0</v>
      </c>
      <c r="N47" s="64">
        <f t="shared" si="16"/>
        <v>5000</v>
      </c>
      <c r="O47" s="330" t="str">
        <f>'1.Detailed budget'!P59</f>
        <v>BB</v>
      </c>
      <c r="P47" s="66"/>
      <c r="Q47" s="66"/>
    </row>
    <row r="48" spans="1:17" ht="144.94999999999999">
      <c r="A48" s="351" t="str">
        <f>'[1]1.Detailed budget'!C60</f>
        <v>3.3 Strengthen planning, governance and coordination at the landscape level in support of landscape resilience through enhancement of ecosystem services</v>
      </c>
      <c r="B48" s="330" t="str">
        <f>'[1]1.Detailed budget'!D60</f>
        <v>3.3.1: Train 30 senior management staff from 10 local branches of established organizations   (Asociacion Cubana de Tecnicos Agricolas y Forestales - ACTAF, Asociacion Cubana de Produccion Animal - ACPA, Asociacion Nacional de Agricultures Pequeños -ANAP, and Federaciòn de Mujeres Cubanas - FMC) to participate effectively in local planning and decision-making processes;</v>
      </c>
      <c r="C48" s="42" t="s">
        <v>21</v>
      </c>
      <c r="D48" s="330" t="str">
        <f>'1.Detailed budget'!F60</f>
        <v>Training, workshops, and conference</v>
      </c>
      <c r="E48" s="330" t="str">
        <f>'1.Detailed budget'!G60</f>
        <v>Workshops / expertise</v>
      </c>
      <c r="F48" s="321"/>
      <c r="G48" s="330">
        <f>'1.Detailed budget'!H60</f>
        <v>2500</v>
      </c>
      <c r="H48" s="330">
        <f>'1.Detailed budget'!I60</f>
        <v>2500</v>
      </c>
      <c r="I48" s="330">
        <f>'1.Detailed budget'!J60</f>
        <v>2500</v>
      </c>
      <c r="J48" s="330">
        <f>'1.Detailed budget'!K60</f>
        <v>2500</v>
      </c>
      <c r="K48" s="330">
        <f>'1.Detailed budget'!L60</f>
        <v>2500</v>
      </c>
      <c r="L48" s="330">
        <f>'1.Detailed budget'!M60</f>
        <v>2500</v>
      </c>
      <c r="M48" s="330">
        <f>'1.Detailed budget'!N60</f>
        <v>2500</v>
      </c>
      <c r="N48" s="64">
        <f t="shared" ref="N48:N51" si="17">SUM(G48:M48)</f>
        <v>17500</v>
      </c>
      <c r="O48" s="330" t="str">
        <f>'1.Detailed budget'!P60</f>
        <v>BC</v>
      </c>
      <c r="P48" s="66"/>
      <c r="Q48" s="66"/>
    </row>
    <row r="49" spans="1:17" ht="57.95">
      <c r="A49" s="351"/>
      <c r="B49" s="330" t="str">
        <f>'[1]1.Detailed budget'!D61</f>
        <v>3.3.2: Multi-level review and analysis of landscape resilience policies and planning instruments as a framework for adaptive landscape management;</v>
      </c>
      <c r="C49" s="42" t="s">
        <v>21</v>
      </c>
      <c r="D49" s="330" t="str">
        <f>'1.Detailed budget'!F61</f>
        <v>Training, workshops, and conference</v>
      </c>
      <c r="E49" s="330" t="str">
        <f>'1.Detailed budget'!G61</f>
        <v>Workshops</v>
      </c>
      <c r="F49" s="321"/>
      <c r="G49" s="330">
        <f>'1.Detailed budget'!H61</f>
        <v>1500</v>
      </c>
      <c r="H49" s="330">
        <f>'1.Detailed budget'!I61</f>
        <v>1500</v>
      </c>
      <c r="I49" s="330">
        <f>'1.Detailed budget'!J61</f>
        <v>1500</v>
      </c>
      <c r="J49" s="330">
        <f>'1.Detailed budget'!K61</f>
        <v>1500</v>
      </c>
      <c r="K49" s="330">
        <f>'1.Detailed budget'!L61</f>
        <v>1500</v>
      </c>
      <c r="L49" s="330">
        <f>'1.Detailed budget'!M61</f>
        <v>0</v>
      </c>
      <c r="M49" s="330">
        <f>'1.Detailed budget'!N61</f>
        <v>0</v>
      </c>
      <c r="N49" s="64">
        <f t="shared" si="17"/>
        <v>7500</v>
      </c>
      <c r="O49" s="330" t="str">
        <f>'1.Detailed budget'!P61</f>
        <v>BD</v>
      </c>
      <c r="P49" s="66"/>
      <c r="Q49" s="66"/>
    </row>
    <row r="50" spans="1:17" ht="120" customHeight="1">
      <c r="A50" s="351"/>
      <c r="B50" s="359" t="str">
        <f>'[1]1.Detailed budget'!D62</f>
        <v>3.3.3: Fifteen workshops to strengthen coordination in local landscape governance structures for climate change adaptation: Comision de Reforestacion, Grupo de Bahia, Comision de Cuencas Hidrograficas, Comision de Asuntos Agrarios; Grupos Provinciales y Municipales de Tarea Vida.</v>
      </c>
      <c r="C50" s="351" t="s">
        <v>21</v>
      </c>
      <c r="D50" s="429" t="str">
        <f>'1.Detailed budget'!F62</f>
        <v>Training, workshops, and conference</v>
      </c>
      <c r="E50" s="330" t="str">
        <f>'1.Detailed budget'!G62</f>
        <v>Workshops</v>
      </c>
      <c r="F50" s="321"/>
      <c r="G50" s="330">
        <f>'1.Detailed budget'!H62</f>
        <v>1500</v>
      </c>
      <c r="H50" s="330">
        <f>'1.Detailed budget'!I62</f>
        <v>1500</v>
      </c>
      <c r="I50" s="330">
        <f>'1.Detailed budget'!J62</f>
        <v>1500</v>
      </c>
      <c r="J50" s="330">
        <f>'1.Detailed budget'!K62</f>
        <v>1500</v>
      </c>
      <c r="K50" s="330">
        <f>'1.Detailed budget'!L62</f>
        <v>1500</v>
      </c>
      <c r="L50" s="330">
        <f>'1.Detailed budget'!M62</f>
        <v>1500</v>
      </c>
      <c r="M50" s="330">
        <f>'1.Detailed budget'!N62</f>
        <v>1500</v>
      </c>
      <c r="N50" s="64">
        <f t="shared" si="17"/>
        <v>10500</v>
      </c>
      <c r="O50" s="330" t="str">
        <f>'1.Detailed budget'!P62</f>
        <v>BE</v>
      </c>
      <c r="P50" s="66"/>
      <c r="Q50" s="66"/>
    </row>
    <row r="51" spans="1:17">
      <c r="A51" s="351"/>
      <c r="B51" s="359"/>
      <c r="C51" s="351"/>
      <c r="D51" s="429"/>
      <c r="E51" s="330" t="str">
        <f>'1.Detailed budget'!G63</f>
        <v>Trainings</v>
      </c>
      <c r="F51" s="321"/>
      <c r="G51" s="330">
        <f>'1.Detailed budget'!H63</f>
        <v>0</v>
      </c>
      <c r="H51" s="330">
        <f>'1.Detailed budget'!I63</f>
        <v>3000</v>
      </c>
      <c r="I51" s="330">
        <f>'1.Detailed budget'!J63</f>
        <v>3000</v>
      </c>
      <c r="J51" s="330">
        <f>'1.Detailed budget'!K63</f>
        <v>0</v>
      </c>
      <c r="K51" s="330">
        <f>'1.Detailed budget'!L63</f>
        <v>0</v>
      </c>
      <c r="L51" s="330">
        <f>'1.Detailed budget'!M63</f>
        <v>0</v>
      </c>
      <c r="M51" s="330">
        <f>'1.Detailed budget'!N63</f>
        <v>0</v>
      </c>
      <c r="N51" s="64">
        <f t="shared" si="17"/>
        <v>6000</v>
      </c>
      <c r="O51" s="330" t="str">
        <f>'1.Detailed budget'!P63</f>
        <v>BF</v>
      </c>
      <c r="P51" s="66"/>
      <c r="Q51" s="66"/>
    </row>
    <row r="52" spans="1:17" ht="43.5">
      <c r="A52" s="351" t="s">
        <v>634</v>
      </c>
      <c r="B52" s="351"/>
      <c r="C52" s="351" t="s">
        <v>21</v>
      </c>
      <c r="D52" s="330" t="str">
        <f>'1.Detailed budget'!F65</f>
        <v>Local consultants</v>
      </c>
      <c r="E52" s="330" t="str">
        <f>'1.Detailed budget'!G65</f>
        <v>Follow-up for the implementation of the project. Support unit and financial management of the project.</v>
      </c>
      <c r="F52" s="321"/>
      <c r="G52" s="64">
        <f>'1.Detailed budget'!H65</f>
        <v>84514.28571428571</v>
      </c>
      <c r="H52" s="64">
        <f>'1.Detailed budget'!I65</f>
        <v>84514.28571428571</v>
      </c>
      <c r="I52" s="64">
        <f>'1.Detailed budget'!J65</f>
        <v>84514.28571428571</v>
      </c>
      <c r="J52" s="64">
        <f>'1.Detailed budget'!K65</f>
        <v>84514.28571428571</v>
      </c>
      <c r="K52" s="64">
        <f>'1.Detailed budget'!L65</f>
        <v>84514.28571428571</v>
      </c>
      <c r="L52" s="64">
        <f>'1.Detailed budget'!M65</f>
        <v>84514.28571428571</v>
      </c>
      <c r="M52" s="64">
        <f>'1.Detailed budget'!N65</f>
        <v>84514.28571428571</v>
      </c>
      <c r="N52" s="64">
        <f t="shared" si="14"/>
        <v>591599.99999999988</v>
      </c>
      <c r="O52" s="64" t="str">
        <f>'1.Detailed budget'!P65</f>
        <v>BG</v>
      </c>
      <c r="P52" s="66"/>
      <c r="Q52" s="66"/>
    </row>
    <row r="53" spans="1:17" ht="43.5">
      <c r="A53" s="351"/>
      <c r="B53" s="351"/>
      <c r="C53" s="351"/>
      <c r="D53" s="330" t="str">
        <f>'1.Detailed budget'!F66</f>
        <v>International Consultants</v>
      </c>
      <c r="E53" s="330" t="str">
        <f>'1.Detailed budget'!G66</f>
        <v>Follow-up for the implementation of the project.  Support unit and financial management of the project.</v>
      </c>
      <c r="F53" s="321"/>
      <c r="G53" s="64">
        <f>'1.Detailed budget'!H66</f>
        <v>60000</v>
      </c>
      <c r="H53" s="64">
        <f>'1.Detailed budget'!I66</f>
        <v>30000</v>
      </c>
      <c r="I53" s="64">
        <f>'1.Detailed budget'!J66</f>
        <v>0</v>
      </c>
      <c r="J53" s="64">
        <f>'1.Detailed budget'!K66</f>
        <v>0</v>
      </c>
      <c r="K53" s="64">
        <f>'1.Detailed budget'!L66</f>
        <v>0</v>
      </c>
      <c r="L53" s="64">
        <f>'1.Detailed budget'!M66</f>
        <v>0</v>
      </c>
      <c r="M53" s="64">
        <f>'1.Detailed budget'!N66</f>
        <v>0</v>
      </c>
      <c r="N53" s="64">
        <f t="shared" ref="N53:N59" si="18">SUM(G53:M53)</f>
        <v>90000</v>
      </c>
      <c r="O53" s="64" t="str">
        <f>'1.Detailed budget'!P66</f>
        <v>BH</v>
      </c>
      <c r="P53" s="66"/>
      <c r="Q53" s="66"/>
    </row>
    <row r="54" spans="1:17" ht="43.5">
      <c r="A54" s="351"/>
      <c r="B54" s="351"/>
      <c r="C54" s="351"/>
      <c r="D54" s="330" t="str">
        <f>'1.Detailed budget'!F67</f>
        <v>Professional/ Contractual Services</v>
      </c>
      <c r="E54" s="330" t="str">
        <f>'1.Detailed budget'!G67</f>
        <v>Office maintenance of the Project Management Unit (General services, utilities, etc.). Support unit and financial management of the project.</v>
      </c>
      <c r="F54" s="321"/>
      <c r="G54" s="64">
        <f>'1.Detailed budget'!H67</f>
        <v>22192.857142857141</v>
      </c>
      <c r="H54" s="64">
        <f>'1.Detailed budget'!I67</f>
        <v>22192.857142857141</v>
      </c>
      <c r="I54" s="64">
        <f>'1.Detailed budget'!J67</f>
        <v>22192.857142857141</v>
      </c>
      <c r="J54" s="64">
        <f>'1.Detailed budget'!K67</f>
        <v>22192.857142857141</v>
      </c>
      <c r="K54" s="64">
        <f>'1.Detailed budget'!L67</f>
        <v>22192.857142857141</v>
      </c>
      <c r="L54" s="64">
        <f>'1.Detailed budget'!M67</f>
        <v>22192.857142857141</v>
      </c>
      <c r="M54" s="64">
        <f>'1.Detailed budget'!N67</f>
        <v>22192.857142857141</v>
      </c>
      <c r="N54" s="64">
        <f t="shared" si="18"/>
        <v>155349.99999999997</v>
      </c>
      <c r="O54" s="64" t="str">
        <f>'1.Detailed budget'!P67</f>
        <v>BI</v>
      </c>
      <c r="P54" s="66"/>
      <c r="Q54" s="66"/>
    </row>
    <row r="55" spans="1:17" ht="29.1">
      <c r="A55" s="351"/>
      <c r="B55" s="351"/>
      <c r="C55" s="351"/>
      <c r="D55" s="429" t="str">
        <f>'1.Detailed budget'!F68</f>
        <v>Equipment</v>
      </c>
      <c r="E55" s="330" t="str">
        <f>'1.Detailed budget'!G68</f>
        <v xml:space="preserve">Vehicles to support the national, provincial and municipal units of project management. </v>
      </c>
      <c r="F55" s="321"/>
      <c r="G55" s="64">
        <f>'1.Detailed budget'!H68</f>
        <v>374850</v>
      </c>
      <c r="H55" s="64">
        <f>'1.Detailed budget'!I68</f>
        <v>0</v>
      </c>
      <c r="I55" s="64">
        <f>'1.Detailed budget'!J68</f>
        <v>0</v>
      </c>
      <c r="J55" s="64">
        <f>'1.Detailed budget'!K68</f>
        <v>0</v>
      </c>
      <c r="K55" s="64">
        <f>'1.Detailed budget'!L68</f>
        <v>0</v>
      </c>
      <c r="L55" s="64">
        <f>'1.Detailed budget'!M68</f>
        <v>0</v>
      </c>
      <c r="M55" s="64">
        <f>'1.Detailed budget'!N68</f>
        <v>0</v>
      </c>
      <c r="N55" s="64">
        <f t="shared" si="18"/>
        <v>374850</v>
      </c>
      <c r="O55" s="64" t="str">
        <f>'1.Detailed budget'!P68</f>
        <v>BJ</v>
      </c>
      <c r="P55" s="66"/>
      <c r="Q55" s="66"/>
    </row>
    <row r="56" spans="1:17" ht="57.95">
      <c r="A56" s="351"/>
      <c r="B56" s="351"/>
      <c r="C56" s="351"/>
      <c r="D56" s="429"/>
      <c r="E56" s="330" t="str">
        <f>'1.Detailed budget'!G69</f>
        <v>GCF. Implementation of operations and maintenance program of vehicles to support the national, provincial and municipal units of the project</v>
      </c>
      <c r="F56" s="321"/>
      <c r="G56" s="64">
        <f>'1.Detailed budget'!H69</f>
        <v>9450</v>
      </c>
      <c r="H56" s="64">
        <f>'1.Detailed budget'!I69</f>
        <v>9450</v>
      </c>
      <c r="I56" s="64">
        <f>'1.Detailed budget'!J69</f>
        <v>9450</v>
      </c>
      <c r="J56" s="64">
        <f>'1.Detailed budget'!K69</f>
        <v>9450</v>
      </c>
      <c r="K56" s="64">
        <f>'1.Detailed budget'!L69</f>
        <v>9450</v>
      </c>
      <c r="L56" s="64">
        <f>'1.Detailed budget'!M69</f>
        <v>9450</v>
      </c>
      <c r="M56" s="64">
        <f>'1.Detailed budget'!N69</f>
        <v>9450</v>
      </c>
      <c r="N56" s="64">
        <f t="shared" si="18"/>
        <v>66150</v>
      </c>
      <c r="O56" s="64" t="str">
        <f>'1.Detailed budget'!P69</f>
        <v>BK</v>
      </c>
      <c r="P56" s="66"/>
      <c r="Q56" s="66"/>
    </row>
    <row r="57" spans="1:17" ht="43.5">
      <c r="A57" s="351"/>
      <c r="B57" s="351"/>
      <c r="C57" s="351"/>
      <c r="D57" s="429"/>
      <c r="E57" s="330" t="str">
        <f>'1.Detailed budget'!G70</f>
        <v xml:space="preserve">Computers and Printers to support the national, provincial and municipal units of project management. </v>
      </c>
      <c r="F57" s="321"/>
      <c r="G57" s="64">
        <f>'1.Detailed budget'!H70</f>
        <v>42068</v>
      </c>
      <c r="H57" s="64">
        <f>'1.Detailed budget'!I70</f>
        <v>0</v>
      </c>
      <c r="I57" s="64">
        <f>'1.Detailed budget'!J70</f>
        <v>0</v>
      </c>
      <c r="J57" s="64">
        <f>'1.Detailed budget'!K70</f>
        <v>0</v>
      </c>
      <c r="K57" s="64">
        <f>'1.Detailed budget'!L70</f>
        <v>0</v>
      </c>
      <c r="L57" s="64">
        <f>'1.Detailed budget'!M70</f>
        <v>0</v>
      </c>
      <c r="M57" s="64">
        <f>'1.Detailed budget'!N70</f>
        <v>0</v>
      </c>
      <c r="N57" s="64">
        <f t="shared" si="18"/>
        <v>42068</v>
      </c>
      <c r="O57" s="64" t="str">
        <f>'1.Detailed budget'!P70</f>
        <v>BL</v>
      </c>
      <c r="P57" s="66"/>
      <c r="Q57" s="66"/>
    </row>
    <row r="58" spans="1:17" ht="43.5">
      <c r="A58" s="351"/>
      <c r="B58" s="351"/>
      <c r="C58" s="351"/>
      <c r="D58" s="429"/>
      <c r="E58" s="330" t="str">
        <f>'1.Detailed budget'!G71</f>
        <v xml:space="preserve">Multimedia and communication equipment to support the national, provincial and municipal units of project management. </v>
      </c>
      <c r="F58" s="321"/>
      <c r="G58" s="64">
        <f>'1.Detailed budget'!H71</f>
        <v>39146.666666666672</v>
      </c>
      <c r="H58" s="64">
        <f>'1.Detailed budget'!I71</f>
        <v>0</v>
      </c>
      <c r="I58" s="64">
        <f>'1.Detailed budget'!J71</f>
        <v>0</v>
      </c>
      <c r="J58" s="64">
        <f>'1.Detailed budget'!K71</f>
        <v>0</v>
      </c>
      <c r="K58" s="64">
        <f>'1.Detailed budget'!L71</f>
        <v>0</v>
      </c>
      <c r="L58" s="64">
        <f>'1.Detailed budget'!M71</f>
        <v>0</v>
      </c>
      <c r="M58" s="64">
        <f>'1.Detailed budget'!N71</f>
        <v>0</v>
      </c>
      <c r="N58" s="64">
        <f t="shared" si="18"/>
        <v>39146.666666666672</v>
      </c>
      <c r="O58" s="64" t="str">
        <f>'1.Detailed budget'!P71</f>
        <v>BM</v>
      </c>
      <c r="P58" s="66"/>
      <c r="Q58" s="66"/>
    </row>
    <row r="59" spans="1:17" ht="43.5">
      <c r="A59" s="351"/>
      <c r="B59" s="351"/>
      <c r="C59" s="351"/>
      <c r="D59" s="429"/>
      <c r="E59" s="330" t="str">
        <f>'1.Detailed budget'!G72</f>
        <v xml:space="preserve">Air conditioning, furniture and various office utensils to support the national, provincial and municipal units of project management. </v>
      </c>
      <c r="F59" s="321"/>
      <c r="G59" s="64">
        <f>'1.Detailed budget'!H72</f>
        <v>12978</v>
      </c>
      <c r="H59" s="64">
        <f>'1.Detailed budget'!I72</f>
        <v>0</v>
      </c>
      <c r="I59" s="64">
        <f>'1.Detailed budget'!J72</f>
        <v>0</v>
      </c>
      <c r="J59" s="64">
        <f>'1.Detailed budget'!K72</f>
        <v>0</v>
      </c>
      <c r="K59" s="64">
        <f>'1.Detailed budget'!L72</f>
        <v>0</v>
      </c>
      <c r="L59" s="64">
        <f>'1.Detailed budget'!M72</f>
        <v>0</v>
      </c>
      <c r="M59" s="64">
        <f>'1.Detailed budget'!N72</f>
        <v>0</v>
      </c>
      <c r="N59" s="64">
        <f t="shared" si="18"/>
        <v>12978</v>
      </c>
      <c r="O59" s="64" t="str">
        <f>'1.Detailed budget'!P72</f>
        <v>BN</v>
      </c>
      <c r="P59" s="66"/>
      <c r="Q59" s="66"/>
    </row>
    <row r="60" spans="1:17" ht="43.5">
      <c r="A60" s="351"/>
      <c r="B60" s="351"/>
      <c r="C60" s="351"/>
      <c r="D60" s="429"/>
      <c r="E60" s="330" t="str">
        <f>'1.Detailed budget'!G73</f>
        <v xml:space="preserve">Vehicles running costs to support the national, provincial and municipal units of project management. </v>
      </c>
      <c r="F60" s="321"/>
      <c r="G60" s="64">
        <f>'1.Detailed budget'!H73</f>
        <v>55419.428571428572</v>
      </c>
      <c r="H60" s="64">
        <f>'1.Detailed budget'!I73</f>
        <v>55419.428571428572</v>
      </c>
      <c r="I60" s="64">
        <f>'1.Detailed budget'!J73</f>
        <v>55419.428571428572</v>
      </c>
      <c r="J60" s="64">
        <f>'1.Detailed budget'!K73</f>
        <v>55419.428571428572</v>
      </c>
      <c r="K60" s="64">
        <f>'1.Detailed budget'!L73</f>
        <v>55419.428571428572</v>
      </c>
      <c r="L60" s="64">
        <f>'1.Detailed budget'!M73</f>
        <v>55419.428571428572</v>
      </c>
      <c r="M60" s="64">
        <f>'1.Detailed budget'!N73</f>
        <v>55419.428571428572</v>
      </c>
      <c r="N60" s="64">
        <f t="shared" ref="N60:N64" si="19">SUM(G60:M60)</f>
        <v>387936</v>
      </c>
      <c r="O60" s="64" t="str">
        <f>'1.Detailed budget'!P73</f>
        <v>BO</v>
      </c>
      <c r="P60" s="66"/>
      <c r="Q60" s="66"/>
    </row>
    <row r="61" spans="1:17">
      <c r="A61" s="350" t="s">
        <v>639</v>
      </c>
      <c r="B61" s="350"/>
      <c r="C61" s="351" t="s">
        <v>21</v>
      </c>
      <c r="D61" s="350" t="s">
        <v>40</v>
      </c>
      <c r="E61" s="330" t="str">
        <f>'1.Detailed budget'!G77</f>
        <v>Consultancy</v>
      </c>
      <c r="F61" s="321"/>
      <c r="G61" s="64">
        <f>'1.Detailed budget'!H77</f>
        <v>0</v>
      </c>
      <c r="H61" s="64">
        <f>'1.Detailed budget'!I77</f>
        <v>4000</v>
      </c>
      <c r="I61" s="64">
        <f>'1.Detailed budget'!J77</f>
        <v>4000</v>
      </c>
      <c r="J61" s="64">
        <f>'1.Detailed budget'!K77</f>
        <v>4000</v>
      </c>
      <c r="K61" s="64">
        <f>'1.Detailed budget'!L77</f>
        <v>0</v>
      </c>
      <c r="L61" s="64">
        <f>'1.Detailed budget'!M77</f>
        <v>0</v>
      </c>
      <c r="M61" s="64">
        <f>'1.Detailed budget'!N77</f>
        <v>0</v>
      </c>
      <c r="N61" s="64">
        <f t="shared" si="19"/>
        <v>12000</v>
      </c>
      <c r="O61" s="64" t="str">
        <f>'1.Detailed budget'!P77</f>
        <v>BR</v>
      </c>
      <c r="P61" s="66"/>
      <c r="Q61" s="66"/>
    </row>
    <row r="62" spans="1:17">
      <c r="A62" s="350"/>
      <c r="B62" s="350"/>
      <c r="C62" s="351"/>
      <c r="D62" s="350"/>
      <c r="E62" s="330" t="str">
        <f>'1.Detailed budget'!G78</f>
        <v>Middle term evaluation</v>
      </c>
      <c r="F62" s="321"/>
      <c r="G62" s="64">
        <f>'1.Detailed budget'!H78</f>
        <v>20000</v>
      </c>
      <c r="H62" s="64">
        <f>'1.Detailed budget'!I78</f>
        <v>30000</v>
      </c>
      <c r="I62" s="64">
        <f>'1.Detailed budget'!J78</f>
        <v>40000</v>
      </c>
      <c r="J62" s="64">
        <f>'1.Detailed budget'!K78</f>
        <v>60000</v>
      </c>
      <c r="K62" s="64">
        <f>'1.Detailed budget'!L78</f>
        <v>0</v>
      </c>
      <c r="L62" s="64">
        <f>'1.Detailed budget'!M78</f>
        <v>0</v>
      </c>
      <c r="M62" s="64">
        <f>'1.Detailed budget'!N78</f>
        <v>0</v>
      </c>
      <c r="N62" s="64">
        <f t="shared" si="19"/>
        <v>150000</v>
      </c>
      <c r="O62" s="64" t="str">
        <f>'1.Detailed budget'!P78</f>
        <v>BS</v>
      </c>
      <c r="P62" s="66"/>
      <c r="Q62" s="66"/>
    </row>
    <row r="63" spans="1:17">
      <c r="A63" s="350"/>
      <c r="B63" s="350"/>
      <c r="C63" s="351"/>
      <c r="D63" s="350"/>
      <c r="E63" s="330" t="str">
        <f>'1.Detailed budget'!G79</f>
        <v>Final evaluation</v>
      </c>
      <c r="F63" s="321"/>
      <c r="G63" s="64">
        <f>'1.Detailed budget'!H79</f>
        <v>0</v>
      </c>
      <c r="H63" s="64">
        <f>'1.Detailed budget'!I79</f>
        <v>0</v>
      </c>
      <c r="I63" s="64">
        <f>'1.Detailed budget'!J79</f>
        <v>0</v>
      </c>
      <c r="J63" s="64">
        <f>'1.Detailed budget'!K79</f>
        <v>0</v>
      </c>
      <c r="K63" s="64">
        <f>'1.Detailed budget'!L79</f>
        <v>35000</v>
      </c>
      <c r="L63" s="64">
        <f>'1.Detailed budget'!M79</f>
        <v>45000</v>
      </c>
      <c r="M63" s="64">
        <f>'1.Detailed budget'!N79</f>
        <v>70000</v>
      </c>
      <c r="N63" s="64">
        <f t="shared" si="19"/>
        <v>150000</v>
      </c>
      <c r="O63" s="64" t="str">
        <f>'1.Detailed budget'!P79</f>
        <v>BT</v>
      </c>
      <c r="P63" s="66"/>
      <c r="Q63" s="66"/>
    </row>
    <row r="64" spans="1:17">
      <c r="A64" s="350"/>
      <c r="B64" s="350"/>
      <c r="C64" s="351"/>
      <c r="D64" s="350"/>
      <c r="E64" s="330" t="str">
        <f>'1.Detailed budget'!G80</f>
        <v>Impact Evaluation Costs</v>
      </c>
      <c r="F64" s="321"/>
      <c r="G64" s="64">
        <f>'1.Detailed budget'!H80</f>
        <v>36035.714228571407</v>
      </c>
      <c r="H64" s="64">
        <f>'1.Detailed budget'!I80</f>
        <v>44535.714228571436</v>
      </c>
      <c r="I64" s="64">
        <f>'1.Detailed budget'!J80</f>
        <v>44285.714228571436</v>
      </c>
      <c r="J64" s="64">
        <f>'1.Detailed budget'!K80</f>
        <v>41785.714228571465</v>
      </c>
      <c r="K64" s="64">
        <f>'1.Detailed budget'!L80</f>
        <v>34035.714228571436</v>
      </c>
      <c r="L64" s="64">
        <f>'1.Detailed budget'!M80</f>
        <v>24035.714228571436</v>
      </c>
      <c r="M64" s="64">
        <f>'1.Detailed budget'!N80</f>
        <v>25285.714228571451</v>
      </c>
      <c r="N64" s="64">
        <f t="shared" si="19"/>
        <v>249999.9996000001</v>
      </c>
      <c r="O64" s="64" t="str">
        <f>'1.Detailed budget'!P80</f>
        <v>BU</v>
      </c>
      <c r="P64" s="66"/>
      <c r="Q64" s="66"/>
    </row>
    <row r="65" spans="7:14">
      <c r="G65" s="66">
        <f t="shared" ref="G65:N65" si="20">SUM(G3:G64)</f>
        <v>8197287.4804215468</v>
      </c>
      <c r="H65" s="66">
        <f t="shared" si="20"/>
        <v>7451122.0837063147</v>
      </c>
      <c r="I65" s="66">
        <f t="shared" si="20"/>
        <v>8392948.46736449</v>
      </c>
      <c r="J65" s="66">
        <f t="shared" si="20"/>
        <v>7270398.5263311565</v>
      </c>
      <c r="K65" s="66">
        <f t="shared" si="20"/>
        <v>3666061.8279087255</v>
      </c>
      <c r="L65" s="66">
        <f t="shared" si="20"/>
        <v>1677963.3055059547</v>
      </c>
      <c r="M65" s="66">
        <f t="shared" si="20"/>
        <v>1551009.1040284773</v>
      </c>
      <c r="N65" s="66">
        <f t="shared" si="20"/>
        <v>38206790.795266658</v>
      </c>
    </row>
  </sheetData>
  <mergeCells count="54">
    <mergeCell ref="B45:B47"/>
    <mergeCell ref="G39:G40"/>
    <mergeCell ref="H39:H40"/>
    <mergeCell ref="I39:I40"/>
    <mergeCell ref="A37:A41"/>
    <mergeCell ref="B37:B38"/>
    <mergeCell ref="D39:D40"/>
    <mergeCell ref="C37:C38"/>
    <mergeCell ref="M39:M40"/>
    <mergeCell ref="D55:D60"/>
    <mergeCell ref="C52:C60"/>
    <mergeCell ref="C50:C51"/>
    <mergeCell ref="A26:A28"/>
    <mergeCell ref="A29:A36"/>
    <mergeCell ref="B34:B36"/>
    <mergeCell ref="B29:B33"/>
    <mergeCell ref="C29:C33"/>
    <mergeCell ref="C34:C36"/>
    <mergeCell ref="E39:E40"/>
    <mergeCell ref="F39:F40"/>
    <mergeCell ref="D29:D33"/>
    <mergeCell ref="D34:D36"/>
    <mergeCell ref="D37:D38"/>
    <mergeCell ref="A42:A47"/>
    <mergeCell ref="A3:A14"/>
    <mergeCell ref="A15:A25"/>
    <mergeCell ref="B11:B12"/>
    <mergeCell ref="B3:B10"/>
    <mergeCell ref="B15:B21"/>
    <mergeCell ref="B22:B23"/>
    <mergeCell ref="C3:C10"/>
    <mergeCell ref="C11:C12"/>
    <mergeCell ref="D11:D12"/>
    <mergeCell ref="D22:D23"/>
    <mergeCell ref="D15:D21"/>
    <mergeCell ref="C15:C21"/>
    <mergeCell ref="C22:C23"/>
    <mergeCell ref="D3:D10"/>
    <mergeCell ref="D61:D64"/>
    <mergeCell ref="C61:C64"/>
    <mergeCell ref="A61:B64"/>
    <mergeCell ref="Q39:Q40"/>
    <mergeCell ref="D46:D47"/>
    <mergeCell ref="D50:D51"/>
    <mergeCell ref="P39:P40"/>
    <mergeCell ref="N39:N40"/>
    <mergeCell ref="O39:O40"/>
    <mergeCell ref="J39:J40"/>
    <mergeCell ref="K39:K40"/>
    <mergeCell ref="L39:L40"/>
    <mergeCell ref="C45:C47"/>
    <mergeCell ref="A48:A51"/>
    <mergeCell ref="B50:B51"/>
    <mergeCell ref="A52:B60"/>
  </mergeCells>
  <pageMargins left="0.7" right="0.7" top="0.75" bottom="0.75" header="0.3" footer="0.3"/>
  <pageSetup paperSize="8" scale="27" orientation="portrait" r:id="rId1"/>
  <colBreaks count="1" manualBreakCount="1">
    <brk id="15" max="63"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5">
    <pageSetUpPr fitToPage="1"/>
  </sheetPr>
  <dimension ref="A1:L53"/>
  <sheetViews>
    <sheetView showGridLines="0" view="pageBreakPreview" zoomScale="80" zoomScaleNormal="100" zoomScaleSheetLayoutView="80" workbookViewId="0">
      <selection activeCell="A28" sqref="A28"/>
    </sheetView>
  </sheetViews>
  <sheetFormatPr defaultColWidth="11.42578125" defaultRowHeight="14.45"/>
  <cols>
    <col min="1" max="1" width="5.42578125" style="37" bestFit="1" customWidth="1"/>
    <col min="2" max="2" width="42.42578125" style="37" customWidth="1"/>
    <col min="3" max="3" width="13.42578125" style="37" bestFit="1" customWidth="1"/>
    <col min="4" max="8" width="14.42578125" style="37" bestFit="1" customWidth="1"/>
    <col min="9" max="10" width="15.85546875" style="37" customWidth="1"/>
    <col min="11" max="11" width="14.42578125" style="37" bestFit="1" customWidth="1"/>
    <col min="12" max="16384" width="11.42578125" style="37"/>
  </cols>
  <sheetData>
    <row r="1" spans="1:12">
      <c r="A1" s="436" t="s">
        <v>640</v>
      </c>
      <c r="B1" s="436"/>
      <c r="C1" s="436"/>
      <c r="D1" s="436"/>
      <c r="E1" s="436"/>
      <c r="F1" s="436"/>
      <c r="G1" s="436"/>
      <c r="H1" s="436"/>
      <c r="I1" s="436"/>
      <c r="J1" s="436"/>
    </row>
    <row r="2" spans="1:12" s="106" customFormat="1" ht="12.95">
      <c r="A2" s="437" t="s">
        <v>641</v>
      </c>
      <c r="B2" s="437"/>
      <c r="C2" s="171" t="s">
        <v>642</v>
      </c>
      <c r="D2" s="172" t="s">
        <v>643</v>
      </c>
      <c r="E2" s="172" t="s">
        <v>644</v>
      </c>
      <c r="F2" s="172" t="s">
        <v>645</v>
      </c>
      <c r="G2" s="172" t="s">
        <v>646</v>
      </c>
      <c r="H2" s="172" t="s">
        <v>647</v>
      </c>
      <c r="I2" s="172" t="s">
        <v>648</v>
      </c>
      <c r="J2" s="172" t="s">
        <v>649</v>
      </c>
    </row>
    <row r="3" spans="1:12" s="106" customFormat="1" ht="12.75" customHeight="1">
      <c r="A3" s="438" t="s">
        <v>650</v>
      </c>
      <c r="B3" s="438"/>
      <c r="C3" s="173">
        <f>C4+C19+C27+C43+C44</f>
        <v>119914183.84239136</v>
      </c>
      <c r="D3" s="173">
        <f t="shared" ref="D3:J3" si="0">D4+D19+D27+D44</f>
        <v>18391377.635572694</v>
      </c>
      <c r="E3" s="173">
        <f t="shared" si="0"/>
        <v>18168703.614590794</v>
      </c>
      <c r="F3" s="173">
        <f t="shared" si="0"/>
        <v>19532393.598248973</v>
      </c>
      <c r="G3" s="173">
        <f t="shared" si="0"/>
        <v>18554533.657215636</v>
      </c>
      <c r="H3" s="173">
        <f t="shared" si="0"/>
        <v>14501942.958793204</v>
      </c>
      <c r="I3" s="173">
        <f t="shared" si="0"/>
        <v>12259228.836390434</v>
      </c>
      <c r="J3" s="173">
        <f t="shared" si="0"/>
        <v>12133524.634912955</v>
      </c>
      <c r="K3" s="107"/>
    </row>
    <row r="4" spans="1:12" s="106" customFormat="1" ht="40.5" customHeight="1">
      <c r="A4" s="434" t="s">
        <v>631</v>
      </c>
      <c r="B4" s="435"/>
      <c r="C4" s="174">
        <f t="shared" ref="C4:J4" si="1">C5+C12</f>
        <v>110958142.93572469</v>
      </c>
      <c r="D4" s="174">
        <f t="shared" si="1"/>
        <v>17839177.789418846</v>
      </c>
      <c r="E4" s="174">
        <f t="shared" si="1"/>
        <v>17681809.922283098</v>
      </c>
      <c r="F4" s="174">
        <f t="shared" si="1"/>
        <v>19189999.905941278</v>
      </c>
      <c r="G4" s="174">
        <f t="shared" si="1"/>
        <v>18183973.298241276</v>
      </c>
      <c r="H4" s="174">
        <f t="shared" si="1"/>
        <v>14222549.266485512</v>
      </c>
      <c r="I4" s="174">
        <f t="shared" si="1"/>
        <v>12007255.098677335</v>
      </c>
      <c r="J4" s="174">
        <f t="shared" si="1"/>
        <v>11833377.654677335</v>
      </c>
      <c r="K4" s="107"/>
      <c r="L4" s="154"/>
    </row>
    <row r="5" spans="1:12" s="80" customFormat="1" ht="42" collapsed="1">
      <c r="A5" s="175" t="str">
        <f>'[1]4. Budget'!A5</f>
        <v xml:space="preserve">1.1 </v>
      </c>
      <c r="B5" s="86" t="str">
        <f>'[1]4. Budget'!B5</f>
        <v>Restore approximately 15,544 ha of farmland from marabu, and increase CC-resilience through sustainable agroforestry (AF), CTNPFs and assisted natural regeneration (mitigation co-benefit 417,532 milli</v>
      </c>
      <c r="C5" s="173">
        <f>SUM(D5:J5)</f>
        <v>59353984.198970601</v>
      </c>
      <c r="D5" s="176">
        <f t="shared" ref="D5:J5" si="2">SUM(D6:D11)</f>
        <v>10747748.093301442</v>
      </c>
      <c r="E5" s="176">
        <f t="shared" si="2"/>
        <v>9768496.0262269862</v>
      </c>
      <c r="F5" s="176">
        <f t="shared" si="2"/>
        <v>10562653.457985163</v>
      </c>
      <c r="G5" s="176">
        <f t="shared" si="2"/>
        <v>9759559.5021851622</v>
      </c>
      <c r="H5" s="176">
        <f t="shared" si="2"/>
        <v>7208830.9723293977</v>
      </c>
      <c r="I5" s="176">
        <f t="shared" si="2"/>
        <v>5740286.7954712212</v>
      </c>
      <c r="J5" s="176">
        <f t="shared" si="2"/>
        <v>5566409.3514712211</v>
      </c>
      <c r="K5" s="107"/>
      <c r="L5" s="110"/>
    </row>
    <row r="6" spans="1:12" s="80" customFormat="1" ht="12.95">
      <c r="A6" s="177" t="str">
        <f>'[1]4. Budget'!A6</f>
        <v xml:space="preserve">1.1.1: </v>
      </c>
      <c r="B6" s="88" t="str">
        <f>'[1]4. Budget'!B6</f>
        <v xml:space="preserve"> Procure identified technologies and equipment</v>
      </c>
      <c r="C6" s="178">
        <f>SUM(D6:J6)</f>
        <v>11590342.993948804</v>
      </c>
      <c r="D6" s="179">
        <f>SUM('1.Detailed budget'!H3:H10)</f>
        <v>4517396.0720365774</v>
      </c>
      <c r="E6" s="179">
        <f>SUM('1.Detailed budget'!I3:I10)</f>
        <v>2522982.2439341662</v>
      </c>
      <c r="F6" s="179">
        <f>SUM('1.Detailed budget'!J3:J10)</f>
        <v>2042854.3456923419</v>
      </c>
      <c r="G6" s="179">
        <f>SUM('1.Detailed budget'!K3:K10)</f>
        <v>1097070.3898923418</v>
      </c>
      <c r="H6" s="179">
        <f>SUM('1.Detailed budget'!L3:L10)</f>
        <v>742744.32003657683</v>
      </c>
      <c r="I6" s="179">
        <f>SUM('1.Detailed budget'!M3:M10)</f>
        <v>420586.53317840077</v>
      </c>
      <c r="J6" s="179">
        <f>SUM('1.Detailed budget'!N3:N10)</f>
        <v>246709.08917840081</v>
      </c>
      <c r="K6" s="107"/>
      <c r="L6" s="110"/>
    </row>
    <row r="7" spans="1:12" s="80" customFormat="1" ht="12.95">
      <c r="A7" s="177" t="str">
        <f>'[1]4. Budget'!A7</f>
        <v xml:space="preserve">1.1.2: </v>
      </c>
      <c r="B7" s="88" t="str">
        <f>'[1]4. Budget'!B7</f>
        <v xml:space="preserve"> Develop training materials for operations and maintenance</v>
      </c>
      <c r="C7" s="178">
        <f t="shared" ref="C7:C11" si="3">SUM(D7:J7)</f>
        <v>21500</v>
      </c>
      <c r="D7" s="179">
        <f>SUM('1.Detailed budget'!H11:H12)</f>
        <v>12500</v>
      </c>
      <c r="E7" s="179">
        <f>SUM('1.Detailed budget'!I11:I12)</f>
        <v>4500</v>
      </c>
      <c r="F7" s="179">
        <f>SUM('1.Detailed budget'!J11:J12)</f>
        <v>4500</v>
      </c>
      <c r="G7" s="179">
        <f>SUM('1.Detailed budget'!K11:K12)</f>
        <v>0</v>
      </c>
      <c r="H7" s="179">
        <f>SUM('1.Detailed budget'!L11:L12)</f>
        <v>0</v>
      </c>
      <c r="I7" s="179">
        <f>SUM('1.Detailed budget'!M11:M12)</f>
        <v>0</v>
      </c>
      <c r="J7" s="179">
        <f>SUM('1.Detailed budget'!N11:N12)</f>
        <v>0</v>
      </c>
      <c r="K7" s="107"/>
      <c r="L7" s="110"/>
    </row>
    <row r="8" spans="1:12" s="80" customFormat="1" ht="12.95">
      <c r="A8" s="177" t="str">
        <f>'[1]4. Budget'!A8</f>
        <v xml:space="preserve">1.1.3: </v>
      </c>
      <c r="B8" s="88" t="str">
        <f>'[1]4. Budget'!B8</f>
        <v xml:space="preserve"> Train 74 machinery operators</v>
      </c>
      <c r="C8" s="178">
        <f t="shared" si="3"/>
        <v>14000</v>
      </c>
      <c r="D8" s="179">
        <f>'1.Detailed budget'!H13</f>
        <v>7000</v>
      </c>
      <c r="E8" s="179">
        <f>'1.Detailed budget'!I13</f>
        <v>7000</v>
      </c>
      <c r="F8" s="179">
        <f>'1.Detailed budget'!J13</f>
        <v>0</v>
      </c>
      <c r="G8" s="179">
        <f>'1.Detailed budget'!K13</f>
        <v>0</v>
      </c>
      <c r="H8" s="179">
        <f>'1.Detailed budget'!L13</f>
        <v>0</v>
      </c>
      <c r="I8" s="179">
        <f>'1.Detailed budget'!M13</f>
        <v>0</v>
      </c>
      <c r="J8" s="179">
        <f>'1.Detailed budget'!N13</f>
        <v>0</v>
      </c>
      <c r="K8" s="107"/>
      <c r="L8" s="110"/>
    </row>
    <row r="9" spans="1:12" s="80" customFormat="1" ht="12.95">
      <c r="A9" s="177" t="str">
        <f>'[1]4. Budget'!A9</f>
        <v xml:space="preserve">1.1.4: </v>
      </c>
      <c r="B9" s="88" t="str">
        <f>'[1]4. Budget'!B9</f>
        <v xml:space="preserve"> Apply technologies to marabu eradication on 15,544 ha </v>
      </c>
      <c r="C9" s="178">
        <f t="shared" si="3"/>
        <v>18538741.987146016</v>
      </c>
      <c r="D9" s="179">
        <f>'1.Detailed budget'!H14</f>
        <v>2648391.7124494305</v>
      </c>
      <c r="E9" s="179">
        <f>'1.Detailed budget'!I14</f>
        <v>2648391.7124494305</v>
      </c>
      <c r="F9" s="179">
        <f>'1.Detailed budget'!J14</f>
        <v>2648391.7124494305</v>
      </c>
      <c r="G9" s="179">
        <f>'1.Detailed budget'!K14</f>
        <v>2648391.7124494305</v>
      </c>
      <c r="H9" s="179">
        <f>'1.Detailed budget'!L14</f>
        <v>2648391.7124494305</v>
      </c>
      <c r="I9" s="179">
        <f>'1.Detailed budget'!M14</f>
        <v>2648391.7124494305</v>
      </c>
      <c r="J9" s="179">
        <f>'1.Detailed budget'!N14</f>
        <v>2648391.7124494305</v>
      </c>
      <c r="K9" s="107"/>
      <c r="L9" s="110"/>
    </row>
    <row r="10" spans="1:12" s="80" customFormat="1" ht="21">
      <c r="A10" s="177" t="str">
        <f>'[1]4. Budget'!A10</f>
        <v xml:space="preserve">1.1.5: </v>
      </c>
      <c r="B10" s="88" t="str">
        <f>'[1]4. Budget'!B10</f>
        <v xml:space="preserve"> Construct 896 water security systems (storage facilities and irrigation)</v>
      </c>
      <c r="C10" s="178">
        <f t="shared" si="3"/>
        <v>8887377.5999999996</v>
      </c>
      <c r="D10" s="179">
        <f>'1.Detailed budget'!H15</f>
        <v>901770.78999999992</v>
      </c>
      <c r="E10" s="179">
        <f>'1.Detailed budget'!I15</f>
        <v>1768497.5199999998</v>
      </c>
      <c r="F10" s="179">
        <f>'1.Detailed budget'!J15</f>
        <v>2657669.25</v>
      </c>
      <c r="G10" s="179">
        <f>'1.Detailed budget'!K15</f>
        <v>2657669.25</v>
      </c>
      <c r="H10" s="179">
        <f>'1.Detailed budget'!L15</f>
        <v>901770.78999999992</v>
      </c>
      <c r="I10" s="179">
        <f>'1.Detailed budget'!M15</f>
        <v>0</v>
      </c>
      <c r="J10" s="179">
        <f>'1.Detailed budget'!N15</f>
        <v>0</v>
      </c>
      <c r="K10" s="107"/>
      <c r="L10" s="110"/>
    </row>
    <row r="11" spans="1:12" s="80" customFormat="1" ht="21">
      <c r="A11" s="177" t="str">
        <f>'[1]4. Budget'!A11</f>
        <v xml:space="preserve">1.1.6: </v>
      </c>
      <c r="B11" s="88" t="str">
        <f>'[1]4. Budget'!B11</f>
        <v xml:space="preserve"> Establish and implement agroforestry, reforestation and assisted natural regeneration modules </v>
      </c>
      <c r="C11" s="178">
        <f t="shared" si="3"/>
        <v>20302021.617875773</v>
      </c>
      <c r="D11" s="179">
        <f>SUM('1.Detailed budget'!H16:H19)</f>
        <v>2660689.5188154336</v>
      </c>
      <c r="E11" s="179">
        <f>SUM('1.Detailed budget'!I16:I19)</f>
        <v>2817124.5498433895</v>
      </c>
      <c r="F11" s="179">
        <f>SUM('1.Detailed budget'!J16:J19)</f>
        <v>3209238.1498433901</v>
      </c>
      <c r="G11" s="179">
        <f>SUM('1.Detailed budget'!K16:K19)</f>
        <v>3356428.1498433901</v>
      </c>
      <c r="H11" s="179">
        <f>SUM('1.Detailed budget'!L16:L19)</f>
        <v>2915924.1498433901</v>
      </c>
      <c r="I11" s="179">
        <f>SUM('1.Detailed budget'!M16:M19)</f>
        <v>2671308.5498433895</v>
      </c>
      <c r="J11" s="179">
        <f>SUM('1.Detailed budget'!N16:N19)</f>
        <v>2671308.5498433895</v>
      </c>
      <c r="K11" s="107"/>
      <c r="L11" s="110"/>
    </row>
    <row r="12" spans="1:12" s="80" customFormat="1" ht="42">
      <c r="A12" s="177" t="str">
        <f>'[1]4. Budget'!A12</f>
        <v xml:space="preserve">1.2 </v>
      </c>
      <c r="B12" s="86" t="str">
        <f>'[1]4. Budget'!B12</f>
        <v>Restore approximately 20,189 ha of rangeland with compacted soils and increase CC-resilience through improved sylvopastoral systems (mitigation net co-benefit 703,225.3 million t CO2eq in 7 years of i</v>
      </c>
      <c r="C12" s="173">
        <f>SUM(D12:J12)</f>
        <v>51604158.73675409</v>
      </c>
      <c r="D12" s="180">
        <f>SUM(D13:D18)</f>
        <v>7091429.6961174039</v>
      </c>
      <c r="E12" s="180">
        <f t="shared" ref="E12:J12" si="4">SUM(E13:E18)</f>
        <v>7913313.8960561138</v>
      </c>
      <c r="F12" s="180">
        <f t="shared" si="4"/>
        <v>8627346.4479561131</v>
      </c>
      <c r="G12" s="180">
        <f t="shared" si="4"/>
        <v>8424413.7960561141</v>
      </c>
      <c r="H12" s="180">
        <f t="shared" si="4"/>
        <v>7013718.2941561136</v>
      </c>
      <c r="I12" s="180">
        <f t="shared" si="4"/>
        <v>6266968.3032061141</v>
      </c>
      <c r="J12" s="180">
        <f t="shared" si="4"/>
        <v>6266968.3032061141</v>
      </c>
      <c r="K12" s="107"/>
      <c r="L12" s="110"/>
    </row>
    <row r="13" spans="1:12" s="80" customFormat="1" ht="12.95">
      <c r="A13" s="177" t="str">
        <f>'[1]4. Budget'!A13</f>
        <v xml:space="preserve">1.2.1: </v>
      </c>
      <c r="B13" s="88" t="str">
        <f>'[1]4. Budget'!B13</f>
        <v xml:space="preserve"> Procure and field identified technologies and equipment</v>
      </c>
      <c r="C13" s="178">
        <f>SUM(D13:J13)</f>
        <v>10388696.535051193</v>
      </c>
      <c r="D13" s="181">
        <f>SUM('1.Detailed budget'!H20:H26)</f>
        <v>1228353.9627644564</v>
      </c>
      <c r="E13" s="181">
        <f>SUM('1.Detailed budget'!I20:I26)</f>
        <v>1826624.4846644562</v>
      </c>
      <c r="F13" s="181">
        <f>SUM('1.Detailed budget'!J20:J26)</f>
        <v>2174157.0365644563</v>
      </c>
      <c r="G13" s="181">
        <f>SUM('1.Detailed budget'!K20:K26)</f>
        <v>1975724.3846644561</v>
      </c>
      <c r="H13" s="181">
        <f>SUM('1.Detailed budget'!L20:L26)</f>
        <v>1310628.8827644563</v>
      </c>
      <c r="I13" s="181">
        <f>SUM('1.Detailed budget'!M20:M26)</f>
        <v>936603.89181445632</v>
      </c>
      <c r="J13" s="181">
        <f>SUM('1.Detailed budget'!N20:N26)</f>
        <v>936603.89181445632</v>
      </c>
      <c r="K13" s="107"/>
      <c r="L13" s="110"/>
    </row>
    <row r="14" spans="1:12" s="84" customFormat="1" ht="12.95">
      <c r="A14" s="177" t="str">
        <f>'[1]4. Budget'!A14</f>
        <v xml:space="preserve">1.2.2: </v>
      </c>
      <c r="B14" s="88" t="str">
        <f>'[1]4. Budget'!B14</f>
        <v xml:space="preserve"> Develop training materials </v>
      </c>
      <c r="C14" s="178">
        <f t="shared" ref="C14:C18" si="5">SUM(D14:J14)</f>
        <v>21500</v>
      </c>
      <c r="D14" s="181">
        <f>SUM('1.Detailed budget'!H27:H28)</f>
        <v>12500</v>
      </c>
      <c r="E14" s="181">
        <f>SUM('1.Detailed budget'!I27:I28)</f>
        <v>4500</v>
      </c>
      <c r="F14" s="181">
        <f>SUM('1.Detailed budget'!J27:J28)</f>
        <v>4500</v>
      </c>
      <c r="G14" s="181">
        <f>SUM('1.Detailed budget'!K27:K28)</f>
        <v>0</v>
      </c>
      <c r="H14" s="181">
        <f>SUM('1.Detailed budget'!L27:L28)</f>
        <v>0</v>
      </c>
      <c r="I14" s="181">
        <f>SUM('1.Detailed budget'!M27:M28)</f>
        <v>0</v>
      </c>
      <c r="J14" s="181">
        <f>SUM('1.Detailed budget'!N27:N28)</f>
        <v>0</v>
      </c>
      <c r="K14" s="107"/>
      <c r="L14" s="153"/>
    </row>
    <row r="15" spans="1:12" s="84" customFormat="1" ht="12.95">
      <c r="A15" s="177" t="str">
        <f>'[1]4. Budget'!A15</f>
        <v xml:space="preserve">1.2.3: </v>
      </c>
      <c r="B15" s="88" t="str">
        <f>'[1]4. Budget'!B15</f>
        <v xml:space="preserve"> Train 68 machinery operators  </v>
      </c>
      <c r="C15" s="178">
        <f t="shared" si="5"/>
        <v>14000</v>
      </c>
      <c r="D15" s="181">
        <f>'1.Detailed budget'!H29</f>
        <v>7000</v>
      </c>
      <c r="E15" s="181">
        <f>'1.Detailed budget'!I29</f>
        <v>7000</v>
      </c>
      <c r="F15" s="181">
        <f>'1.Detailed budget'!J29</f>
        <v>0</v>
      </c>
      <c r="G15" s="181">
        <f>'1.Detailed budget'!K29</f>
        <v>0</v>
      </c>
      <c r="H15" s="181">
        <f>'1.Detailed budget'!L29</f>
        <v>0</v>
      </c>
      <c r="I15" s="181">
        <f>'1.Detailed budget'!M29</f>
        <v>0</v>
      </c>
      <c r="J15" s="181">
        <f>'1.Detailed budget'!N29</f>
        <v>0</v>
      </c>
      <c r="K15" s="107"/>
      <c r="L15" s="153"/>
    </row>
    <row r="16" spans="1:12" s="84" customFormat="1" ht="12.95">
      <c r="A16" s="177" t="str">
        <f>'[1]4. Budget'!A16</f>
        <v xml:space="preserve">1.2.4: </v>
      </c>
      <c r="B16" s="88" t="str">
        <f>'[1]4. Budget'!B16</f>
        <v xml:space="preserve"> Implement sub-soiling of 20,189 hectares of compacted rangeland</v>
      </c>
      <c r="C16" s="178">
        <f t="shared" si="5"/>
        <v>20638849.826032512</v>
      </c>
      <c r="D16" s="181">
        <f>'1.Detailed budget'!H30</f>
        <v>2948407.1180046443</v>
      </c>
      <c r="E16" s="181">
        <f>'1.Detailed budget'!I30</f>
        <v>2948407.1180046443</v>
      </c>
      <c r="F16" s="181">
        <f>'1.Detailed budget'!J30</f>
        <v>2948407.1180046443</v>
      </c>
      <c r="G16" s="181">
        <f>'1.Detailed budget'!K30</f>
        <v>2948407.1180046443</v>
      </c>
      <c r="H16" s="181">
        <f>'1.Detailed budget'!L30</f>
        <v>2948407.1180046443</v>
      </c>
      <c r="I16" s="181">
        <f>'1.Detailed budget'!M30</f>
        <v>2948407.1180046443</v>
      </c>
      <c r="J16" s="181">
        <f>'1.Detailed budget'!N30</f>
        <v>2948407.1180046443</v>
      </c>
      <c r="K16" s="107"/>
      <c r="L16" s="153"/>
    </row>
    <row r="17" spans="1:12" s="84" customFormat="1" ht="21">
      <c r="A17" s="177" t="str">
        <f>'[1]4. Budget'!A17</f>
        <v xml:space="preserve">1.2.5: </v>
      </c>
      <c r="B17" s="88" t="str">
        <f>'[1]4. Budget'!B17</f>
        <v xml:space="preserve"> Construct 11,362 small-scale water security systems (storage and livestock drinking facilities)</v>
      </c>
      <c r="C17" s="178">
        <f t="shared" si="5"/>
        <v>3726925</v>
      </c>
      <c r="D17" s="181">
        <f>'1.Detailed budget'!H31</f>
        <v>372725</v>
      </c>
      <c r="E17" s="181">
        <f>'1.Detailed budget'!I31</f>
        <v>744825</v>
      </c>
      <c r="F17" s="181">
        <f>'1.Detailed budget'!J31</f>
        <v>1118325</v>
      </c>
      <c r="G17" s="181">
        <f>'1.Detailed budget'!K31</f>
        <v>1118325</v>
      </c>
      <c r="H17" s="181">
        <f>'1.Detailed budget'!L31</f>
        <v>372725</v>
      </c>
      <c r="I17" s="181">
        <f>'1.Detailed budget'!M31</f>
        <v>0</v>
      </c>
      <c r="J17" s="181">
        <f>'1.Detailed budget'!N31</f>
        <v>0</v>
      </c>
      <c r="K17" s="107"/>
      <c r="L17" s="153"/>
    </row>
    <row r="18" spans="1:12" s="84" customFormat="1" ht="21">
      <c r="A18" s="177" t="str">
        <f>'[1]4. Budget'!A18</f>
        <v xml:space="preserve">1.2.6: </v>
      </c>
      <c r="B18" s="88" t="str">
        <f>'[1]4. Budget'!B18</f>
        <v xml:space="preserve"> Establish and implement sylvopastoral modules, including improved grazing systems </v>
      </c>
      <c r="C18" s="178">
        <f t="shared" si="5"/>
        <v>16814187.375670381</v>
      </c>
      <c r="D18" s="181">
        <f>SUM('1.Detailed budget'!H32:H34)</f>
        <v>2522443.6153483028</v>
      </c>
      <c r="E18" s="181">
        <f>SUM('1.Detailed budget'!I32:I34)</f>
        <v>2381957.293387013</v>
      </c>
      <c r="F18" s="181">
        <f>SUM('1.Detailed budget'!J32:J34)</f>
        <v>2381957.293387013</v>
      </c>
      <c r="G18" s="181">
        <f>SUM('1.Detailed budget'!K32:K34)</f>
        <v>2381957.293387013</v>
      </c>
      <c r="H18" s="181">
        <f>SUM('1.Detailed budget'!L32:L34)</f>
        <v>2381957.293387013</v>
      </c>
      <c r="I18" s="181">
        <f>SUM('1.Detailed budget'!M32:M34)</f>
        <v>2381957.293387013</v>
      </c>
      <c r="J18" s="181">
        <f>SUM('1.Detailed budget'!N32:N34)</f>
        <v>2381957.293387013</v>
      </c>
      <c r="K18" s="107"/>
      <c r="L18" s="153"/>
    </row>
    <row r="19" spans="1:12" s="84" customFormat="1" ht="28.5" customHeight="1">
      <c r="A19" s="434" t="s">
        <v>632</v>
      </c>
      <c r="B19" s="435"/>
      <c r="C19" s="174">
        <f>C20+C24</f>
        <v>826870</v>
      </c>
      <c r="D19" s="174">
        <f t="shared" ref="D19:J19" si="6">D20+D24</f>
        <v>293410</v>
      </c>
      <c r="E19" s="174">
        <f t="shared" si="6"/>
        <v>205410</v>
      </c>
      <c r="F19" s="174">
        <f t="shared" si="6"/>
        <v>72910</v>
      </c>
      <c r="G19" s="174">
        <f t="shared" si="6"/>
        <v>77910</v>
      </c>
      <c r="H19" s="174">
        <f t="shared" si="6"/>
        <v>60910</v>
      </c>
      <c r="I19" s="174">
        <f t="shared" si="6"/>
        <v>60910</v>
      </c>
      <c r="J19" s="174">
        <f t="shared" si="6"/>
        <v>55410</v>
      </c>
      <c r="K19" s="107"/>
    </row>
    <row r="20" spans="1:12" s="84" customFormat="1" ht="42">
      <c r="A20" s="175" t="str">
        <f>'[1]4. Budget'!A20</f>
        <v xml:space="preserve">2.1 </v>
      </c>
      <c r="B20" s="86" t="str">
        <f>'[1]4. Budget'!B20</f>
        <v>Increase institutional capacities to support farmers and producers’ organizations to establish and maintain agroforestry, sylvopastoral and forestry systems for improved ecosystem services</v>
      </c>
      <c r="C20" s="173">
        <f>SUM(D20:J20)</f>
        <v>108000</v>
      </c>
      <c r="D20" s="182">
        <f>SUM(D21:D23)</f>
        <v>58000</v>
      </c>
      <c r="E20" s="182">
        <f t="shared" ref="E20:J20" si="7">SUM(E21:E23)</f>
        <v>38000</v>
      </c>
      <c r="F20" s="182">
        <f t="shared" si="7"/>
        <v>3000</v>
      </c>
      <c r="G20" s="182">
        <f t="shared" si="7"/>
        <v>3000</v>
      </c>
      <c r="H20" s="182">
        <f t="shared" si="7"/>
        <v>3000</v>
      </c>
      <c r="I20" s="182">
        <f t="shared" si="7"/>
        <v>3000</v>
      </c>
      <c r="J20" s="182">
        <f t="shared" si="7"/>
        <v>0</v>
      </c>
      <c r="K20" s="107"/>
    </row>
    <row r="21" spans="1:12" s="84" customFormat="1" ht="12.95">
      <c r="A21" s="177" t="str">
        <f>'[1]4. Budget'!A21</f>
        <v xml:space="preserve">2.1.1: </v>
      </c>
      <c r="B21" s="88" t="str">
        <f>'[1]4. Budget'!B21</f>
        <v xml:space="preserve"> Develop training   materials for use by trainers of extensionists</v>
      </c>
      <c r="C21" s="178">
        <f>SUM(D21:J21)</f>
        <v>18000</v>
      </c>
      <c r="D21" s="181">
        <f>'3. Indicative procurement plan'!G26</f>
        <v>3000</v>
      </c>
      <c r="E21" s="181">
        <f>'3. Indicative procurement plan'!H26</f>
        <v>3000</v>
      </c>
      <c r="F21" s="181">
        <f>'3. Indicative procurement plan'!I26</f>
        <v>3000</v>
      </c>
      <c r="G21" s="181">
        <f>'3. Indicative procurement plan'!J26</f>
        <v>3000</v>
      </c>
      <c r="H21" s="181">
        <f>'3. Indicative procurement plan'!K26</f>
        <v>3000</v>
      </c>
      <c r="I21" s="181">
        <f>'3. Indicative procurement plan'!L26</f>
        <v>3000</v>
      </c>
      <c r="J21" s="181">
        <f>'3. Indicative procurement plan'!M26</f>
        <v>0</v>
      </c>
      <c r="K21" s="107"/>
      <c r="L21" s="153"/>
    </row>
    <row r="22" spans="1:12" s="84" customFormat="1" ht="42">
      <c r="A22" s="177" t="str">
        <f>'[1]4. Budget'!A22</f>
        <v xml:space="preserve">2.1.2: </v>
      </c>
      <c r="B22" s="88" t="str">
        <f>'[1]4. Budget'!B22</f>
        <v xml:space="preserve"> Train 443 extension service technicians, agricultural technicians, and cooperative leaders   to lead  farmers in gender and age-sensitive learning-by-doing regarding the implementation, operations an</v>
      </c>
      <c r="C22" s="178">
        <f>SUM(D22:J22)</f>
        <v>50000</v>
      </c>
      <c r="D22" s="181">
        <f>'3. Indicative procurement plan'!G27</f>
        <v>35000</v>
      </c>
      <c r="E22" s="181">
        <f>'3. Indicative procurement plan'!H27</f>
        <v>15000</v>
      </c>
      <c r="F22" s="181">
        <f>'3. Indicative procurement plan'!I27</f>
        <v>0</v>
      </c>
      <c r="G22" s="181">
        <f>'3. Indicative procurement plan'!J27</f>
        <v>0</v>
      </c>
      <c r="H22" s="181">
        <f>'3. Indicative procurement plan'!K27</f>
        <v>0</v>
      </c>
      <c r="I22" s="181">
        <f>'3. Indicative procurement plan'!L27</f>
        <v>0</v>
      </c>
      <c r="J22" s="181">
        <f>'3. Indicative procurement plan'!M27</f>
        <v>0</v>
      </c>
      <c r="K22" s="107"/>
      <c r="L22" s="153"/>
    </row>
    <row r="23" spans="1:12" s="84" customFormat="1" ht="31.5">
      <c r="A23" s="177" t="str">
        <f>'[1]4. Budget'!A23</f>
        <v xml:space="preserve">2.1.3: </v>
      </c>
      <c r="B23" s="88" t="str">
        <f>'[1]4. Budget'!B23</f>
        <v xml:space="preserve"> Development of supplementary learning materials and information on CC, ecosystem function and services, agroecology, agroforestry and forestry systems, and farm economics;</v>
      </c>
      <c r="C23" s="178">
        <f t="shared" ref="C23:C26" si="8">SUM(D23:J23)</f>
        <v>40000</v>
      </c>
      <c r="D23" s="181">
        <f>'3. Indicative procurement plan'!G28</f>
        <v>20000</v>
      </c>
      <c r="E23" s="181">
        <f>'3. Indicative procurement plan'!H28</f>
        <v>20000</v>
      </c>
      <c r="F23" s="181">
        <f>'3. Indicative procurement plan'!I28</f>
        <v>0</v>
      </c>
      <c r="G23" s="181">
        <f>'3. Indicative procurement plan'!J28</f>
        <v>0</v>
      </c>
      <c r="H23" s="181">
        <f>'3. Indicative procurement plan'!K28</f>
        <v>0</v>
      </c>
      <c r="I23" s="181">
        <f>'3. Indicative procurement plan'!L28</f>
        <v>0</v>
      </c>
      <c r="J23" s="181">
        <f>'3. Indicative procurement plan'!M28</f>
        <v>0</v>
      </c>
      <c r="K23" s="107"/>
      <c r="L23" s="153"/>
    </row>
    <row r="24" spans="1:12" s="84" customFormat="1" ht="31.7" customHeight="1">
      <c r="A24" s="175" t="str">
        <f>'[1]4. Budget'!A24</f>
        <v xml:space="preserve">2.2 </v>
      </c>
      <c r="B24" s="86" t="str">
        <f>'[1]4. Budget'!B24</f>
        <v xml:space="preserve">Train agricultural producers to collectively revitalize and manage production landscapes for gender-equitable climate-resilient agriculture and ecosystem services
</v>
      </c>
      <c r="C24" s="173">
        <f>SUM(D24:J24)</f>
        <v>718870</v>
      </c>
      <c r="D24" s="180">
        <f>SUM(D25:D26)</f>
        <v>235410</v>
      </c>
      <c r="E24" s="180">
        <f t="shared" ref="E24:J24" si="9">SUM(E25:E26)</f>
        <v>167410</v>
      </c>
      <c r="F24" s="180">
        <f t="shared" si="9"/>
        <v>69910</v>
      </c>
      <c r="G24" s="180">
        <f t="shared" si="9"/>
        <v>74910</v>
      </c>
      <c r="H24" s="180">
        <f t="shared" si="9"/>
        <v>57910</v>
      </c>
      <c r="I24" s="180">
        <f t="shared" si="9"/>
        <v>57910</v>
      </c>
      <c r="J24" s="180">
        <f t="shared" si="9"/>
        <v>55410</v>
      </c>
      <c r="K24" s="107"/>
    </row>
    <row r="25" spans="1:12" s="84" customFormat="1" ht="36.6" customHeight="1">
      <c r="A25" s="177" t="str">
        <f>'[1]4. Budget'!A25</f>
        <v xml:space="preserve">2.2.1: </v>
      </c>
      <c r="B25" s="88" t="str">
        <f>'[1]4. Budget'!B25</f>
        <v xml:space="preserve"> Establish or strengthen existing Farmer Field Schools (17) in the seven municipalities based on type of agroforestry, sylvopastoral or forestry system to be implemented and logistical and other consi</v>
      </c>
      <c r="C25" s="178">
        <f t="shared" si="8"/>
        <v>274000</v>
      </c>
      <c r="D25" s="181">
        <f>SUM('3. Indicative procurement plan'!G29:G33)</f>
        <v>146000</v>
      </c>
      <c r="E25" s="181">
        <f>SUM('3. Indicative procurement plan'!H29:H33)</f>
        <v>78000</v>
      </c>
      <c r="F25" s="181">
        <f>SUM('3. Indicative procurement plan'!I29:I33)</f>
        <v>8000</v>
      </c>
      <c r="G25" s="181">
        <f>SUM('3. Indicative procurement plan'!J29:J33)</f>
        <v>13000</v>
      </c>
      <c r="H25" s="181">
        <f>SUM('3. Indicative procurement plan'!K29:K33)</f>
        <v>8000</v>
      </c>
      <c r="I25" s="181">
        <f>SUM('3. Indicative procurement plan'!L29:L33)</f>
        <v>8000</v>
      </c>
      <c r="J25" s="181">
        <f>SUM('3. Indicative procurement plan'!M29:M33)</f>
        <v>13000</v>
      </c>
      <c r="K25" s="107"/>
      <c r="L25" s="153"/>
    </row>
    <row r="26" spans="1:12" s="84" customFormat="1" ht="25.5" customHeight="1">
      <c r="A26" s="177" t="str">
        <f>'[1]4. Budget'!A26</f>
        <v xml:space="preserve">2.2.2: </v>
      </c>
      <c r="B26" s="88" t="str">
        <f>'[1]4. Budget'!B26</f>
        <v xml:space="preserve"> Implementation of 17 Farmer Field Schools and training of 15,549   farmers using the participatory research and learning-by-doing approach.</v>
      </c>
      <c r="C26" s="178">
        <f t="shared" si="8"/>
        <v>444870</v>
      </c>
      <c r="D26" s="181">
        <f>SUM('3. Indicative procurement plan'!G34:G36)</f>
        <v>89410</v>
      </c>
      <c r="E26" s="181">
        <f>SUM('3. Indicative procurement plan'!H34:H36)</f>
        <v>89410</v>
      </c>
      <c r="F26" s="181">
        <f>SUM('3. Indicative procurement plan'!I34:I36)</f>
        <v>61910</v>
      </c>
      <c r="G26" s="181">
        <f>SUM('3. Indicative procurement plan'!J34:J36)</f>
        <v>61910</v>
      </c>
      <c r="H26" s="181">
        <f>SUM('3. Indicative procurement plan'!K34:K36)</f>
        <v>49910</v>
      </c>
      <c r="I26" s="181">
        <f>SUM('3. Indicative procurement plan'!L34:L36)</f>
        <v>49910</v>
      </c>
      <c r="J26" s="181">
        <f>SUM('3. Indicative procurement plan'!M34:M36)</f>
        <v>42410</v>
      </c>
      <c r="K26" s="107"/>
      <c r="L26" s="153"/>
    </row>
    <row r="27" spans="1:12" s="84" customFormat="1" ht="24.75" customHeight="1">
      <c r="A27" s="434" t="s">
        <v>633</v>
      </c>
      <c r="B27" s="435"/>
      <c r="C27" s="174">
        <f>SUM(D27:J27)</f>
        <v>944692.00080000004</v>
      </c>
      <c r="D27" s="174">
        <f>D28+D33+D39</f>
        <v>166718.41769670334</v>
      </c>
      <c r="E27" s="174">
        <f t="shared" ref="E27:J27" si="10">E28+E33+E39</f>
        <v>158412.26385054944</v>
      </c>
      <c r="F27" s="174">
        <f t="shared" si="10"/>
        <v>136912.26385054944</v>
      </c>
      <c r="G27" s="174">
        <f t="shared" si="10"/>
        <v>145078.93051721604</v>
      </c>
      <c r="H27" s="174">
        <f t="shared" si="10"/>
        <v>115412.26385054944</v>
      </c>
      <c r="I27" s="174">
        <f t="shared" si="10"/>
        <v>97992.309255954839</v>
      </c>
      <c r="J27" s="174">
        <f t="shared" si="10"/>
        <v>124165.55177847733</v>
      </c>
      <c r="K27" s="107"/>
    </row>
    <row r="28" spans="1:12" s="84" customFormat="1" ht="31.5">
      <c r="A28" s="175" t="str">
        <f>'[1]4. Budget'!A28</f>
        <v xml:space="preserve">3.1 </v>
      </c>
      <c r="B28" s="86" t="str">
        <f>'[1]4. Budget'!B28</f>
        <v>Develop, discuss and analyze options for policy reforms to support implementation of agroforestry, sylvopastoral and forestry systems for landscape resilience through improved ecos</v>
      </c>
      <c r="C28" s="173">
        <f t="shared" ref="C28:C42" si="11">SUM(D28:J28)</f>
        <v>260499.99999999988</v>
      </c>
      <c r="D28" s="182">
        <f t="shared" ref="D28:J28" si="12">SUM(D29:D32)</f>
        <v>58476.703296703337</v>
      </c>
      <c r="E28" s="182">
        <f t="shared" si="12"/>
        <v>47670.549450549435</v>
      </c>
      <c r="F28" s="182">
        <f t="shared" si="12"/>
        <v>28170.549450549443</v>
      </c>
      <c r="G28" s="182">
        <f t="shared" si="12"/>
        <v>45837.216117216034</v>
      </c>
      <c r="H28" s="182">
        <f t="shared" si="12"/>
        <v>26170.549450549443</v>
      </c>
      <c r="I28" s="182">
        <f t="shared" si="12"/>
        <v>15250.59485595484</v>
      </c>
      <c r="J28" s="182">
        <f t="shared" si="12"/>
        <v>38923.837378477336</v>
      </c>
      <c r="K28" s="110"/>
    </row>
    <row r="29" spans="1:12" s="84" customFormat="1" ht="31.5">
      <c r="A29" s="177" t="str">
        <f>'[1]4. Budget'!A29</f>
        <v xml:space="preserve">3.1.1: </v>
      </c>
      <c r="B29" s="88" t="str">
        <f>'[1]4. Budget'!B29</f>
        <v xml:space="preserve"> Ten workshops with expert assistance and input (international and national experts) to facilitate inter-institutional analyses and discussions regarding policy objectives, needs and options for the m</v>
      </c>
      <c r="C29" s="178">
        <f t="shared" si="11"/>
        <v>250499.99999999985</v>
      </c>
      <c r="D29" s="181">
        <f>SUM('1.Detailed budget'!H48:H49)</f>
        <v>58476.703296703337</v>
      </c>
      <c r="E29" s="181">
        <f>SUM('1.Detailed budget'!I48:I49)</f>
        <v>43670.549450549435</v>
      </c>
      <c r="F29" s="181">
        <f>SUM('1.Detailed budget'!J48:J49)</f>
        <v>25170.549450549443</v>
      </c>
      <c r="G29" s="181">
        <f>SUM('1.Detailed budget'!K48:K49)</f>
        <v>43837.216117216034</v>
      </c>
      <c r="H29" s="181">
        <f>SUM('1.Detailed budget'!L48:L49)</f>
        <v>25170.549450549443</v>
      </c>
      <c r="I29" s="181">
        <f>SUM('1.Detailed budget'!M48:M49)</f>
        <v>15250.59485595484</v>
      </c>
      <c r="J29" s="181">
        <f>SUM('1.Detailed budget'!N48:N49)</f>
        <v>38923.837378477336</v>
      </c>
      <c r="K29" s="107"/>
    </row>
    <row r="30" spans="1:12" s="84" customFormat="1" ht="31.5">
      <c r="A30" s="177" t="str">
        <f>'[1]4. Budget'!A30</f>
        <v xml:space="preserve">3.1.2: </v>
      </c>
      <c r="B30" s="88" t="str">
        <f>'[1]4. Budget'!B30</f>
        <v xml:space="preserve"> Definition and discussion of institutional modifications or adaptations in support of the different options for policy reforms to support landscape resilience through improved ecosystem services;</v>
      </c>
      <c r="C30" s="441">
        <f t="shared" si="11"/>
        <v>7000</v>
      </c>
      <c r="D30" s="432">
        <f>'1.Detailed budget'!H50</f>
        <v>0</v>
      </c>
      <c r="E30" s="432">
        <f>'1.Detailed budget'!I50</f>
        <v>2000</v>
      </c>
      <c r="F30" s="432">
        <f>'1.Detailed budget'!J50</f>
        <v>2000</v>
      </c>
      <c r="G30" s="432">
        <f>'1.Detailed budget'!K50</f>
        <v>2000</v>
      </c>
      <c r="H30" s="432">
        <f>'1.Detailed budget'!L50</f>
        <v>1000</v>
      </c>
      <c r="I30" s="432">
        <f>'1.Detailed budget'!M50</f>
        <v>0</v>
      </c>
      <c r="J30" s="432">
        <f>'1.Detailed budget'!N50</f>
        <v>0</v>
      </c>
      <c r="K30" s="107"/>
    </row>
    <row r="31" spans="1:12" s="84" customFormat="1" ht="21.6" customHeight="1">
      <c r="A31" s="177" t="str">
        <f>'[1]4. Budget'!A31</f>
        <v xml:space="preserve">3.1.3: </v>
      </c>
      <c r="B31" s="88" t="str">
        <f>'[1]4. Budget'!B31</f>
        <v xml:space="preserve"> Development of specific proposals for policy reforms;</v>
      </c>
      <c r="C31" s="442"/>
      <c r="D31" s="433"/>
      <c r="E31" s="433"/>
      <c r="F31" s="433"/>
      <c r="G31" s="433"/>
      <c r="H31" s="433"/>
      <c r="I31" s="433"/>
      <c r="J31" s="433"/>
      <c r="K31" s="107"/>
    </row>
    <row r="32" spans="1:12" s="84" customFormat="1" ht="12.95">
      <c r="A32" s="177" t="str">
        <f>'[1]4. Budget'!A32</f>
        <v xml:space="preserve">3.1.4: </v>
      </c>
      <c r="B32" s="88" t="str">
        <f>'[1]4. Budget'!B32</f>
        <v xml:space="preserve"> Discussion of reform proposals at national level.</v>
      </c>
      <c r="C32" s="178">
        <f t="shared" si="11"/>
        <v>3000</v>
      </c>
      <c r="D32" s="183">
        <f>'1.Detailed budget'!H52</f>
        <v>0</v>
      </c>
      <c r="E32" s="183">
        <f>'1.Detailed budget'!I52</f>
        <v>2000</v>
      </c>
      <c r="F32" s="183">
        <f>'1.Detailed budget'!J52</f>
        <v>1000</v>
      </c>
      <c r="G32" s="183">
        <f>'1.Detailed budget'!K52</f>
        <v>0</v>
      </c>
      <c r="H32" s="183">
        <f>'1.Detailed budget'!L52</f>
        <v>0</v>
      </c>
      <c r="I32" s="183">
        <f>'1.Detailed budget'!M52</f>
        <v>0</v>
      </c>
      <c r="J32" s="183">
        <f>'1.Detailed budget'!N52</f>
        <v>0</v>
      </c>
      <c r="K32" s="107"/>
    </row>
    <row r="33" spans="1:11" s="84" customFormat="1" ht="31.5">
      <c r="A33" s="175" t="str">
        <f>'[1]4. Budget'!A33</f>
        <v xml:space="preserve">3.2 </v>
      </c>
      <c r="B33" s="86" t="str">
        <f>'[1]4. Budget'!B33</f>
        <v>Establish a Landscape Resilience Fund to support adoption and implementation of agroforestry, sylvopastoral and forestry systems in support of landscape resilience through ecosyste</v>
      </c>
      <c r="C33" s="173">
        <f t="shared" si="11"/>
        <v>642692.00080000004</v>
      </c>
      <c r="D33" s="180">
        <f>SUM(D34:D38)</f>
        <v>102741.7144</v>
      </c>
      <c r="E33" s="180">
        <f t="shared" ref="E33:J33" si="13">SUM(E34:E38)</f>
        <v>102241.7144</v>
      </c>
      <c r="F33" s="180">
        <f t="shared" si="13"/>
        <v>100241.7144</v>
      </c>
      <c r="G33" s="180">
        <f t="shared" si="13"/>
        <v>93741.714399999997</v>
      </c>
      <c r="H33" s="180">
        <f t="shared" si="13"/>
        <v>83741.714399999997</v>
      </c>
      <c r="I33" s="180">
        <f t="shared" si="13"/>
        <v>78741.714399999997</v>
      </c>
      <c r="J33" s="180">
        <f t="shared" si="13"/>
        <v>81241.714399999997</v>
      </c>
      <c r="K33" s="107"/>
    </row>
    <row r="34" spans="1:11" s="84" customFormat="1" ht="21.75" customHeight="1">
      <c r="A34" s="177" t="str">
        <f>'[1]4. Budget'!A34</f>
        <v xml:space="preserve">3.2.1: </v>
      </c>
      <c r="B34" s="88" t="str">
        <f>'[1]4. Budget'!B34</f>
        <v xml:space="preserve"> Expert analyses of existing funds (FONADEF, SCF) and other funds both regionally and globally;</v>
      </c>
      <c r="C34" s="178">
        <f t="shared" si="11"/>
        <v>8000</v>
      </c>
      <c r="D34" s="181">
        <f>'1.Detailed budget'!H53</f>
        <v>2000</v>
      </c>
      <c r="E34" s="181">
        <f>'1.Detailed budget'!I53</f>
        <v>2000</v>
      </c>
      <c r="F34" s="181">
        <f>'1.Detailed budget'!J53</f>
        <v>4000</v>
      </c>
      <c r="G34" s="181">
        <f>'1.Detailed budget'!K53</f>
        <v>0</v>
      </c>
      <c r="H34" s="181">
        <f>'1.Detailed budget'!L53</f>
        <v>0</v>
      </c>
      <c r="I34" s="181">
        <f>'1.Detailed budget'!M53</f>
        <v>0</v>
      </c>
      <c r="J34" s="181">
        <f>'1.Detailed budget'!N53</f>
        <v>0</v>
      </c>
      <c r="K34" s="107"/>
    </row>
    <row r="35" spans="1:11" s="84" customFormat="1" ht="21.75" customHeight="1">
      <c r="A35" s="177" t="str">
        <f>'[1]4. Budget'!A35</f>
        <v xml:space="preserve">3.2.2: </v>
      </c>
      <c r="B35" s="88" t="str">
        <f>'[1]4. Budget'!B35</f>
        <v xml:space="preserve"> Ten workshops to analyze and develop options for a Landscape Resilience Fund to support implementation of landscape resilience policies on the ground;</v>
      </c>
      <c r="C35" s="178">
        <f t="shared" si="11"/>
        <v>30000</v>
      </c>
      <c r="D35" s="181">
        <f>'1.Detailed budget'!H54</f>
        <v>7500</v>
      </c>
      <c r="E35" s="181">
        <f>'1.Detailed budget'!I54</f>
        <v>10000</v>
      </c>
      <c r="F35" s="181">
        <f>'1.Detailed budget'!J54</f>
        <v>7500</v>
      </c>
      <c r="G35" s="181">
        <f>'1.Detailed budget'!K54</f>
        <v>5000</v>
      </c>
      <c r="H35" s="181">
        <f>'1.Detailed budget'!L54</f>
        <v>0</v>
      </c>
      <c r="I35" s="181">
        <f>'1.Detailed budget'!M54</f>
        <v>0</v>
      </c>
      <c r="J35" s="181">
        <f>'1.Detailed budget'!N54</f>
        <v>0</v>
      </c>
      <c r="K35" s="107"/>
    </row>
    <row r="36" spans="1:11" s="84" customFormat="1" ht="21.75" customHeight="1">
      <c r="A36" s="177" t="str">
        <f>'[1]4. Budget'!A36</f>
        <v xml:space="preserve">3.2.3: </v>
      </c>
      <c r="B36" s="88" t="str">
        <f>'[1]4. Budget'!B36</f>
        <v xml:space="preserve"> Design of a Landscape Resilience Fund to support resilience-enhancing land use by farmers and producers’ organizations;</v>
      </c>
      <c r="C36" s="178">
        <f t="shared" si="11"/>
        <v>30000</v>
      </c>
      <c r="D36" s="181">
        <f>'1.Detailed budget'!H55</f>
        <v>0</v>
      </c>
      <c r="E36" s="181">
        <f>'1.Detailed budget'!I55</f>
        <v>7500</v>
      </c>
      <c r="F36" s="181">
        <f>'1.Detailed budget'!J55</f>
        <v>10000</v>
      </c>
      <c r="G36" s="181">
        <f>'1.Detailed budget'!K55</f>
        <v>7500</v>
      </c>
      <c r="H36" s="181">
        <f>'1.Detailed budget'!L55</f>
        <v>5000</v>
      </c>
      <c r="I36" s="181">
        <f>'1.Detailed budget'!M55</f>
        <v>0</v>
      </c>
      <c r="J36" s="181">
        <f>'1.Detailed budget'!N55</f>
        <v>0</v>
      </c>
      <c r="K36" s="107"/>
    </row>
    <row r="37" spans="1:11" s="84" customFormat="1" ht="21.75" customHeight="1">
      <c r="A37" s="177" t="str">
        <f>'[1]4. Budget'!A37</f>
        <v xml:space="preserve">3.2.4: </v>
      </c>
      <c r="B37" s="88" t="str">
        <f>'[1]4. Budget'!B37</f>
        <v xml:space="preserve"> Formal legal establishment of the Landscape Resilience Fund;</v>
      </c>
      <c r="C37" s="178">
        <f t="shared" si="11"/>
        <v>551192.00080000004</v>
      </c>
      <c r="D37" s="181">
        <f>'1.Detailed budget'!H56</f>
        <v>78741.714399999997</v>
      </c>
      <c r="E37" s="181">
        <f>'1.Detailed budget'!I56</f>
        <v>78741.714399999997</v>
      </c>
      <c r="F37" s="181">
        <f>'1.Detailed budget'!J56</f>
        <v>78741.714399999997</v>
      </c>
      <c r="G37" s="181">
        <f>'1.Detailed budget'!K56</f>
        <v>78741.714399999997</v>
      </c>
      <c r="H37" s="181">
        <f>'1.Detailed budget'!L56</f>
        <v>78741.714399999997</v>
      </c>
      <c r="I37" s="181">
        <f>'1.Detailed budget'!M56</f>
        <v>78741.714399999997</v>
      </c>
      <c r="J37" s="181">
        <f>'1.Detailed budget'!N56</f>
        <v>78741.714399999997</v>
      </c>
      <c r="K37" s="107"/>
    </row>
    <row r="38" spans="1:11" s="84" customFormat="1" ht="21.75" customHeight="1">
      <c r="A38" s="177" t="str">
        <f>'[1]4. Budget'!A38</f>
        <v xml:space="preserve">3.2.5: </v>
      </c>
      <c r="B38" s="88" t="str">
        <f>'[1]4. Budget'!B38</f>
        <v xml:space="preserve"> Elaboration of communication strategy and materials, and dissemination.</v>
      </c>
      <c r="C38" s="178">
        <f t="shared" si="11"/>
        <v>23500</v>
      </c>
      <c r="D38" s="181">
        <f>SUM('1.Detailed budget'!H57:H59)</f>
        <v>14500</v>
      </c>
      <c r="E38" s="181">
        <f>SUM('1.Detailed budget'!I57:I59)</f>
        <v>4000</v>
      </c>
      <c r="F38" s="181">
        <f>SUM('1.Detailed budget'!J57:J59)</f>
        <v>0</v>
      </c>
      <c r="G38" s="181">
        <f>SUM('1.Detailed budget'!K57:K59)</f>
        <v>2500</v>
      </c>
      <c r="H38" s="181">
        <f>SUM('1.Detailed budget'!L57:L59)</f>
        <v>0</v>
      </c>
      <c r="I38" s="181">
        <f>SUM('1.Detailed budget'!M57:M59)</f>
        <v>0</v>
      </c>
      <c r="J38" s="181">
        <f>SUM('1.Detailed budget'!N57:N59)</f>
        <v>2500</v>
      </c>
      <c r="K38" s="107"/>
    </row>
    <row r="39" spans="1:11" s="84" customFormat="1" ht="21.75" customHeight="1">
      <c r="A39" s="175" t="str">
        <f>'[1]4. Budget'!A39</f>
        <v xml:space="preserve">3.3 </v>
      </c>
      <c r="B39" s="86" t="str">
        <f>'[1]4. Budget'!B39</f>
        <v>Strengthen planning, governance and coordination at the landscape level in support of landscape resilience through enhancement of ecosystem services</v>
      </c>
      <c r="C39" s="173">
        <f t="shared" si="11"/>
        <v>41500</v>
      </c>
      <c r="D39" s="180">
        <f>SUM(D40:D42)</f>
        <v>5500</v>
      </c>
      <c r="E39" s="180">
        <f t="shared" ref="E39:J39" si="14">SUM(E40:E42)</f>
        <v>8500</v>
      </c>
      <c r="F39" s="180">
        <f t="shared" si="14"/>
        <v>8500</v>
      </c>
      <c r="G39" s="180">
        <f t="shared" si="14"/>
        <v>5500</v>
      </c>
      <c r="H39" s="180">
        <f t="shared" si="14"/>
        <v>5500</v>
      </c>
      <c r="I39" s="180">
        <f t="shared" si="14"/>
        <v>4000</v>
      </c>
      <c r="J39" s="180">
        <f t="shared" si="14"/>
        <v>4000</v>
      </c>
      <c r="K39" s="107"/>
    </row>
    <row r="40" spans="1:11" s="84" customFormat="1" ht="21.75" customHeight="1">
      <c r="A40" s="177" t="str">
        <f>'[1]4. Budget'!A40</f>
        <v xml:space="preserve">3.3.1: </v>
      </c>
      <c r="B40" s="88" t="str">
        <f>'[1]4. Budget'!B40</f>
        <v xml:space="preserve"> Train 30 senior management staff from 10 local branches of established organizations   (Asociacion Cubana de Tecnicos Agricolas y Forestales - ACTAF, Asociacion Cubana de Produccion Animal - ACPA, As</v>
      </c>
      <c r="C40" s="178">
        <f t="shared" si="11"/>
        <v>17500</v>
      </c>
      <c r="D40" s="181">
        <f>'1.Detailed budget'!H60</f>
        <v>2500</v>
      </c>
      <c r="E40" s="181">
        <f>'1.Detailed budget'!I60</f>
        <v>2500</v>
      </c>
      <c r="F40" s="181">
        <f>'1.Detailed budget'!J60</f>
        <v>2500</v>
      </c>
      <c r="G40" s="181">
        <f>'1.Detailed budget'!K60</f>
        <v>2500</v>
      </c>
      <c r="H40" s="181">
        <f>'1.Detailed budget'!L60</f>
        <v>2500</v>
      </c>
      <c r="I40" s="181">
        <f>'1.Detailed budget'!M60</f>
        <v>2500</v>
      </c>
      <c r="J40" s="181">
        <f>'1.Detailed budget'!N60</f>
        <v>2500</v>
      </c>
      <c r="K40" s="107"/>
    </row>
    <row r="41" spans="1:11" s="84" customFormat="1" ht="21.75" customHeight="1">
      <c r="A41" s="177" t="str">
        <f>'[1]4. Budget'!A41</f>
        <v xml:space="preserve">3.3.2: </v>
      </c>
      <c r="B41" s="88" t="str">
        <f>'[1]4. Budget'!B41</f>
        <v xml:space="preserve"> Multi-level review and analysis of landscape resilience policies and planning instruments as a framework for adaptive landscape management;</v>
      </c>
      <c r="C41" s="178">
        <f t="shared" si="11"/>
        <v>7500</v>
      </c>
      <c r="D41" s="181">
        <f>'1.Detailed budget'!H61</f>
        <v>1500</v>
      </c>
      <c r="E41" s="181">
        <f>'1.Detailed budget'!I61</f>
        <v>1500</v>
      </c>
      <c r="F41" s="181">
        <f>'1.Detailed budget'!J61</f>
        <v>1500</v>
      </c>
      <c r="G41" s="181">
        <f>'1.Detailed budget'!K61</f>
        <v>1500</v>
      </c>
      <c r="H41" s="181">
        <f>'1.Detailed budget'!L61</f>
        <v>1500</v>
      </c>
      <c r="I41" s="181">
        <f>'1.Detailed budget'!M61</f>
        <v>0</v>
      </c>
      <c r="J41" s="181">
        <f>'1.Detailed budget'!N61</f>
        <v>0</v>
      </c>
      <c r="K41" s="107"/>
    </row>
    <row r="42" spans="1:11" s="84" customFormat="1" ht="21.75" customHeight="1">
      <c r="A42" s="177" t="str">
        <f>'[1]4. Budget'!A42</f>
        <v xml:space="preserve">3.3.3: </v>
      </c>
      <c r="B42" s="88" t="str">
        <f>'[1]4. Budget'!B42</f>
        <v xml:space="preserve"> Fifteen workshops to strengthen coordination in local landscape governance structures for climate change adaptation: Comision de Reforestacion, Grupo de Bahia, Comision de Cuencas Hidrograficas, Comi</v>
      </c>
      <c r="C42" s="178">
        <f t="shared" si="11"/>
        <v>16500</v>
      </c>
      <c r="D42" s="181">
        <f>SUM('1.Detailed budget'!H62:H63)</f>
        <v>1500</v>
      </c>
      <c r="E42" s="181">
        <f>SUM('1.Detailed budget'!I62:I63)</f>
        <v>4500</v>
      </c>
      <c r="F42" s="181">
        <f>SUM('1.Detailed budget'!J62:J63)</f>
        <v>4500</v>
      </c>
      <c r="G42" s="181">
        <f>SUM('1.Detailed budget'!K62:K63)</f>
        <v>1500</v>
      </c>
      <c r="H42" s="181">
        <f>SUM('1.Detailed budget'!L62:L63)</f>
        <v>1500</v>
      </c>
      <c r="I42" s="181">
        <f>SUM('1.Detailed budget'!M62:M63)</f>
        <v>1500</v>
      </c>
      <c r="J42" s="181">
        <f>SUM('1.Detailed budget'!N62:N63)</f>
        <v>1500</v>
      </c>
      <c r="K42" s="107"/>
    </row>
    <row r="43" spans="1:11" s="84" customFormat="1" ht="21.75" customHeight="1">
      <c r="A43" s="439" t="s">
        <v>634</v>
      </c>
      <c r="B43" s="440"/>
      <c r="C43" s="184">
        <f>SUM(D43:J43)</f>
        <v>6372478.9066666653</v>
      </c>
      <c r="D43" s="185">
        <f>'1.Detailed budget'!H76</f>
        <v>1359533.5580952379</v>
      </c>
      <c r="E43" s="185">
        <f>'1.Detailed budget'!I76</f>
        <v>860490.89142857143</v>
      </c>
      <c r="F43" s="185">
        <f>'1.Detailed budget'!J76</f>
        <v>830490.89142857143</v>
      </c>
      <c r="G43" s="185">
        <f>'1.Detailed budget'!K76</f>
        <v>830490.89142857143</v>
      </c>
      <c r="H43" s="185">
        <f>'1.Detailed budget'!L76</f>
        <v>830490.89142857143</v>
      </c>
      <c r="I43" s="185">
        <f>'1.Detailed budget'!M76</f>
        <v>830490.89142857143</v>
      </c>
      <c r="J43" s="185">
        <f>'1.Detailed budget'!N76</f>
        <v>830490.89142857143</v>
      </c>
      <c r="K43" s="107"/>
    </row>
    <row r="44" spans="1:11" s="84" customFormat="1" ht="12.75" customHeight="1">
      <c r="A44" s="439" t="s">
        <v>635</v>
      </c>
      <c r="B44" s="440"/>
      <c r="C44" s="184">
        <f>SUM(D44:J44)</f>
        <v>811999.99920000019</v>
      </c>
      <c r="D44" s="185">
        <f>SUM('1.Detailed budget'!H77:H81)</f>
        <v>92071.428457142814</v>
      </c>
      <c r="E44" s="185">
        <f>SUM('1.Detailed budget'!I77:I81)</f>
        <v>123071.42845714287</v>
      </c>
      <c r="F44" s="185">
        <f>SUM('1.Detailed budget'!J77:J81)</f>
        <v>132571.42845714287</v>
      </c>
      <c r="G44" s="185">
        <f>SUM('1.Detailed budget'!K77:K81)</f>
        <v>147571.42845714293</v>
      </c>
      <c r="H44" s="185">
        <f>SUM('1.Detailed budget'!L77:L81)</f>
        <v>103071.42845714287</v>
      </c>
      <c r="I44" s="185">
        <f>SUM('1.Detailed budget'!M77:M81)</f>
        <v>93071.428457142873</v>
      </c>
      <c r="J44" s="185">
        <f>SUM('1.Detailed budget'!N77:N81)</f>
        <v>120571.4284571429</v>
      </c>
      <c r="K44" s="107"/>
    </row>
    <row r="48" spans="1:11" ht="15" customHeight="1"/>
    <row r="50" spans="1:1">
      <c r="A50" s="36"/>
    </row>
    <row r="51" spans="1:1">
      <c r="A51" s="36"/>
    </row>
    <row r="52" spans="1:1">
      <c r="A52" s="36"/>
    </row>
    <row r="53" spans="1:1">
      <c r="A53" s="36"/>
    </row>
  </sheetData>
  <mergeCells count="16">
    <mergeCell ref="A44:B44"/>
    <mergeCell ref="C30:C31"/>
    <mergeCell ref="D30:D31"/>
    <mergeCell ref="E30:E31"/>
    <mergeCell ref="F30:F31"/>
    <mergeCell ref="A43:B43"/>
    <mergeCell ref="A1:J1"/>
    <mergeCell ref="A2:B2"/>
    <mergeCell ref="A3:B3"/>
    <mergeCell ref="A4:B4"/>
    <mergeCell ref="A19:B19"/>
    <mergeCell ref="I30:I31"/>
    <mergeCell ref="J30:J31"/>
    <mergeCell ref="G30:G31"/>
    <mergeCell ref="H30:H31"/>
    <mergeCell ref="A27:B27"/>
  </mergeCells>
  <pageMargins left="0.7" right="0.7" top="0.75" bottom="0.75" header="0.3" footer="0.3"/>
  <pageSetup paperSize="9" scale="52" fitToHeight="0" orientation="portrait" r:id="rId1"/>
  <colBreaks count="1" manualBreakCount="1">
    <brk id="10"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6"/>
  <dimension ref="A1:Q69"/>
  <sheetViews>
    <sheetView showGridLines="0" view="pageBreakPreview" zoomScale="110" zoomScaleNormal="100" zoomScaleSheetLayoutView="110" workbookViewId="0">
      <selection activeCell="C42" sqref="C42"/>
    </sheetView>
  </sheetViews>
  <sheetFormatPr defaultColWidth="11.42578125" defaultRowHeight="14.45"/>
  <cols>
    <col min="1" max="1" width="11.42578125" style="240" customWidth="1"/>
    <col min="2" max="2" width="38.140625" style="240" bestFit="1" customWidth="1"/>
    <col min="3" max="3" width="14.140625" style="240" bestFit="1" customWidth="1"/>
    <col min="4" max="10" width="11.42578125" style="240" bestFit="1" customWidth="1"/>
    <col min="11" max="16384" width="11.42578125" style="37"/>
  </cols>
  <sheetData>
    <row r="1" spans="1:17" s="111" customFormat="1" ht="12.75" customHeight="1">
      <c r="A1" s="445" t="s">
        <v>651</v>
      </c>
      <c r="B1" s="436"/>
      <c r="C1" s="436"/>
      <c r="D1" s="436"/>
      <c r="E1" s="436"/>
      <c r="F1" s="436"/>
      <c r="G1" s="436"/>
      <c r="H1" s="436"/>
      <c r="I1" s="436"/>
      <c r="J1" s="436"/>
    </row>
    <row r="2" spans="1:17" s="106" customFormat="1" ht="12.95">
      <c r="A2" s="437" t="s">
        <v>652</v>
      </c>
      <c r="B2" s="437"/>
      <c r="C2" s="171" t="s">
        <v>562</v>
      </c>
      <c r="D2" s="172" t="s">
        <v>643</v>
      </c>
      <c r="E2" s="172" t="s">
        <v>644</v>
      </c>
      <c r="F2" s="172" t="s">
        <v>645</v>
      </c>
      <c r="G2" s="172" t="s">
        <v>646</v>
      </c>
      <c r="H2" s="172" t="s">
        <v>647</v>
      </c>
      <c r="I2" s="172" t="s">
        <v>648</v>
      </c>
      <c r="J2" s="172" t="s">
        <v>649</v>
      </c>
      <c r="K2" s="112"/>
      <c r="L2" s="112"/>
      <c r="M2" s="112"/>
      <c r="N2" s="112"/>
      <c r="O2" s="112"/>
      <c r="P2" s="112"/>
      <c r="Q2" s="112"/>
    </row>
    <row r="3" spans="1:17" s="106" customFormat="1" ht="15" customHeight="1">
      <c r="A3" s="446"/>
      <c r="B3" s="446"/>
      <c r="C3" s="186">
        <f t="shared" ref="C3:C9" si="0">SUM(D3:J3)</f>
        <v>119914183.84239137</v>
      </c>
      <c r="D3" s="186">
        <f t="shared" ref="D3:J3" si="1">D4+D19+D26+D41+D44</f>
        <v>19750911.193667933</v>
      </c>
      <c r="E3" s="186">
        <f t="shared" si="1"/>
        <v>19029194.506019365</v>
      </c>
      <c r="F3" s="186">
        <f t="shared" si="1"/>
        <v>20362884.489677545</v>
      </c>
      <c r="G3" s="186">
        <f t="shared" si="1"/>
        <v>19385024.548644207</v>
      </c>
      <c r="H3" s="186">
        <f t="shared" si="1"/>
        <v>15332433.850221774</v>
      </c>
      <c r="I3" s="186">
        <f t="shared" si="1"/>
        <v>13089719.727819005</v>
      </c>
      <c r="J3" s="186">
        <f t="shared" si="1"/>
        <v>12964015.526341526</v>
      </c>
      <c r="K3" s="113"/>
      <c r="L3" s="112"/>
      <c r="M3" s="112"/>
      <c r="N3" s="112"/>
      <c r="O3" s="112"/>
      <c r="P3" s="112"/>
      <c r="Q3" s="112"/>
    </row>
    <row r="4" spans="1:17" s="106" customFormat="1" ht="72.75" customHeight="1">
      <c r="A4" s="447" t="s">
        <v>631</v>
      </c>
      <c r="B4" s="447"/>
      <c r="C4" s="187">
        <f t="shared" si="0"/>
        <v>110958142.93572468</v>
      </c>
      <c r="D4" s="187">
        <f t="shared" ref="D4:J4" si="2">D5+D14</f>
        <v>17839177.789418846</v>
      </c>
      <c r="E4" s="187">
        <f t="shared" si="2"/>
        <v>17681809.922283098</v>
      </c>
      <c r="F4" s="187">
        <f t="shared" si="2"/>
        <v>19189999.905941278</v>
      </c>
      <c r="G4" s="187">
        <f t="shared" si="2"/>
        <v>18183973.298241276</v>
      </c>
      <c r="H4" s="187">
        <f t="shared" si="2"/>
        <v>14222549.26648551</v>
      </c>
      <c r="I4" s="187">
        <f t="shared" si="2"/>
        <v>12007255.098677335</v>
      </c>
      <c r="J4" s="187">
        <f t="shared" si="2"/>
        <v>11833377.654677335</v>
      </c>
      <c r="K4" s="113"/>
      <c r="L4" s="112"/>
      <c r="M4" s="112"/>
      <c r="N4" s="112"/>
      <c r="O4" s="112"/>
      <c r="P4" s="112"/>
      <c r="Q4" s="112"/>
    </row>
    <row r="5" spans="1:17" s="117" customFormat="1" ht="15" customHeight="1">
      <c r="A5" s="443" t="s">
        <v>653</v>
      </c>
      <c r="B5" s="444"/>
      <c r="C5" s="186">
        <f t="shared" si="0"/>
        <v>34664342.128999993</v>
      </c>
      <c r="D5" s="143">
        <f t="shared" ref="D5:J5" si="3">SUM(D6:D13)</f>
        <v>7059245.8248010334</v>
      </c>
      <c r="E5" s="143">
        <f t="shared" si="3"/>
        <v>6885929.2485986222</v>
      </c>
      <c r="F5" s="143">
        <f t="shared" si="3"/>
        <v>8002005.6322567984</v>
      </c>
      <c r="G5" s="143">
        <f t="shared" si="3"/>
        <v>6848789.0245567979</v>
      </c>
      <c r="H5" s="143">
        <f t="shared" si="3"/>
        <v>3327868.992801033</v>
      </c>
      <c r="I5" s="143">
        <f t="shared" si="3"/>
        <v>1357190.424992857</v>
      </c>
      <c r="J5" s="143">
        <f t="shared" si="3"/>
        <v>1183312.9809928571</v>
      </c>
      <c r="K5" s="115"/>
      <c r="L5" s="116"/>
      <c r="M5" s="116"/>
      <c r="N5" s="116"/>
      <c r="O5" s="116"/>
      <c r="P5" s="116"/>
      <c r="Q5" s="116"/>
    </row>
    <row r="6" spans="1:17" s="117" customFormat="1" ht="12.95">
      <c r="A6" s="188" t="str">
        <f>'[1]5. Fin Timeline'!A6</f>
        <v xml:space="preserve">1.1.1: </v>
      </c>
      <c r="B6" s="189" t="str">
        <f>'[1]5. Fin Timeline'!B6</f>
        <v xml:space="preserve"> Procure identified technologies and equipment</v>
      </c>
      <c r="C6" s="190">
        <f t="shared" si="0"/>
        <v>11590342.993948804</v>
      </c>
      <c r="D6" s="190">
        <f>'5. Fin Timeline'!D6</f>
        <v>4517396.0720365774</v>
      </c>
      <c r="E6" s="190">
        <f>'5. Fin Timeline'!E6</f>
        <v>2522982.2439341662</v>
      </c>
      <c r="F6" s="190">
        <f>'5. Fin Timeline'!F6</f>
        <v>2042854.3456923419</v>
      </c>
      <c r="G6" s="190">
        <f>'5. Fin Timeline'!G6</f>
        <v>1097070.3898923418</v>
      </c>
      <c r="H6" s="190">
        <f>'5. Fin Timeline'!H6</f>
        <v>742744.32003657683</v>
      </c>
      <c r="I6" s="190">
        <f>'5. Fin Timeline'!I6</f>
        <v>420586.53317840077</v>
      </c>
      <c r="J6" s="190">
        <f>'5. Fin Timeline'!J6</f>
        <v>246709.08917840081</v>
      </c>
      <c r="K6" s="115"/>
      <c r="L6" s="115"/>
      <c r="M6" s="116"/>
      <c r="N6" s="116"/>
      <c r="O6" s="116"/>
      <c r="P6" s="116"/>
      <c r="Q6" s="116"/>
    </row>
    <row r="7" spans="1:17" s="117" customFormat="1" ht="12.95">
      <c r="A7" s="188" t="str">
        <f>'[1]5. Fin Timeline'!A7</f>
        <v xml:space="preserve">1.1.2: </v>
      </c>
      <c r="B7" s="189" t="str">
        <f>'[1]5. Fin Timeline'!B7</f>
        <v xml:space="preserve"> Develop training materials for operations and maintenance</v>
      </c>
      <c r="C7" s="190">
        <f t="shared" ref="C7" si="4">SUM(D7:J7)</f>
        <v>21500</v>
      </c>
      <c r="D7" s="190">
        <f>'5. Fin Timeline'!D7</f>
        <v>12500</v>
      </c>
      <c r="E7" s="190">
        <f>'5. Fin Timeline'!E7</f>
        <v>4500</v>
      </c>
      <c r="F7" s="190">
        <f>'5. Fin Timeline'!F7</f>
        <v>4500</v>
      </c>
      <c r="G7" s="190">
        <f>'5. Fin Timeline'!G7</f>
        <v>0</v>
      </c>
      <c r="H7" s="190">
        <f>'5. Fin Timeline'!H7</f>
        <v>0</v>
      </c>
      <c r="I7" s="190">
        <f>'5. Fin Timeline'!I7</f>
        <v>0</v>
      </c>
      <c r="J7" s="190">
        <f>'5. Fin Timeline'!J7</f>
        <v>0</v>
      </c>
      <c r="K7" s="115"/>
      <c r="L7" s="115"/>
      <c r="M7" s="116"/>
      <c r="N7" s="116"/>
      <c r="O7" s="116"/>
      <c r="P7" s="116"/>
      <c r="Q7" s="116"/>
    </row>
    <row r="8" spans="1:17" s="117" customFormat="1" ht="12.95">
      <c r="A8" s="188" t="str">
        <f>'[1]5. Fin Timeline'!A8</f>
        <v xml:space="preserve">1.1.3: </v>
      </c>
      <c r="B8" s="189" t="str">
        <f>'[1]5. Fin Timeline'!B8</f>
        <v xml:space="preserve"> Train 74 machinery operators</v>
      </c>
      <c r="C8" s="190">
        <f t="shared" ref="C8" si="5">SUM(D8:J8)</f>
        <v>14000</v>
      </c>
      <c r="D8" s="190">
        <f>'5. Fin Timeline'!D8</f>
        <v>7000</v>
      </c>
      <c r="E8" s="190">
        <f>'5. Fin Timeline'!E8</f>
        <v>7000</v>
      </c>
      <c r="F8" s="190">
        <f>'5. Fin Timeline'!F8</f>
        <v>0</v>
      </c>
      <c r="G8" s="190">
        <f>'5. Fin Timeline'!G8</f>
        <v>0</v>
      </c>
      <c r="H8" s="190">
        <f>'5. Fin Timeline'!H8</f>
        <v>0</v>
      </c>
      <c r="I8" s="190">
        <f>'5. Fin Timeline'!I8</f>
        <v>0</v>
      </c>
      <c r="J8" s="190">
        <f>'5. Fin Timeline'!J8</f>
        <v>0</v>
      </c>
      <c r="K8" s="115"/>
      <c r="L8" s="115"/>
      <c r="M8" s="116"/>
      <c r="N8" s="116"/>
      <c r="O8" s="116"/>
      <c r="P8" s="116"/>
      <c r="Q8" s="116"/>
    </row>
    <row r="9" spans="1:17" s="117" customFormat="1" ht="21">
      <c r="A9" s="188" t="str">
        <f>'[1]5. Fin Timeline'!A10</f>
        <v xml:space="preserve">1.1.5: </v>
      </c>
      <c r="B9" s="189" t="str">
        <f>'[1]5. Fin Timeline'!B10</f>
        <v xml:space="preserve"> Construct 896 water security systems (storage facilities and irrigation)</v>
      </c>
      <c r="C9" s="190">
        <f t="shared" si="0"/>
        <v>8887377.5999999996</v>
      </c>
      <c r="D9" s="190">
        <f>'5. Fin Timeline'!D10</f>
        <v>901770.78999999992</v>
      </c>
      <c r="E9" s="190">
        <f>'5. Fin Timeline'!E10</f>
        <v>1768497.5199999998</v>
      </c>
      <c r="F9" s="190">
        <f>'5. Fin Timeline'!F10</f>
        <v>2657669.25</v>
      </c>
      <c r="G9" s="190">
        <f>'5. Fin Timeline'!G10</f>
        <v>2657669.25</v>
      </c>
      <c r="H9" s="190">
        <f>'5. Fin Timeline'!H10</f>
        <v>901770.78999999992</v>
      </c>
      <c r="I9" s="190">
        <f>'5. Fin Timeline'!I10</f>
        <v>0</v>
      </c>
      <c r="J9" s="190">
        <f>'5. Fin Timeline'!J10</f>
        <v>0</v>
      </c>
      <c r="K9" s="115"/>
      <c r="L9" s="115"/>
      <c r="M9" s="116"/>
      <c r="N9" s="116"/>
      <c r="O9" s="116"/>
      <c r="P9" s="116"/>
      <c r="Q9" s="116"/>
    </row>
    <row r="10" spans="1:17" s="117" customFormat="1" ht="12.95">
      <c r="A10" s="188" t="str">
        <f>'[1]5. Fin Timeline'!A13</f>
        <v xml:space="preserve">1.2.1: </v>
      </c>
      <c r="B10" s="189" t="str">
        <f>'[1]5. Fin Timeline'!B13</f>
        <v xml:space="preserve"> Procure and field identified technologies and equipment</v>
      </c>
      <c r="C10" s="190">
        <f t="shared" ref="C10:C17" si="6">SUM(D10:J10)</f>
        <v>10388696.535051193</v>
      </c>
      <c r="D10" s="190">
        <f>'5. Fin Timeline'!D13</f>
        <v>1228353.9627644564</v>
      </c>
      <c r="E10" s="190">
        <f>'5. Fin Timeline'!E13</f>
        <v>1826624.4846644562</v>
      </c>
      <c r="F10" s="190">
        <f>'5. Fin Timeline'!F13</f>
        <v>2174157.0365644563</v>
      </c>
      <c r="G10" s="190">
        <f>'5. Fin Timeline'!G13</f>
        <v>1975724.3846644561</v>
      </c>
      <c r="H10" s="190">
        <f>'5. Fin Timeline'!H13</f>
        <v>1310628.8827644563</v>
      </c>
      <c r="I10" s="190">
        <f>'5. Fin Timeline'!I13</f>
        <v>936603.89181445632</v>
      </c>
      <c r="J10" s="190">
        <f>'5. Fin Timeline'!J13</f>
        <v>936603.89181445632</v>
      </c>
      <c r="K10" s="115"/>
      <c r="L10" s="115"/>
      <c r="M10" s="116"/>
      <c r="N10" s="116"/>
      <c r="O10" s="116"/>
      <c r="P10" s="116"/>
      <c r="Q10" s="116"/>
    </row>
    <row r="11" spans="1:17" s="117" customFormat="1" ht="12.95">
      <c r="A11" s="188" t="str">
        <f>'[1]5. Fin Timeline'!A14</f>
        <v xml:space="preserve">1.2.2: </v>
      </c>
      <c r="B11" s="189" t="str">
        <f>'[1]5. Fin Timeline'!B14</f>
        <v xml:space="preserve"> Develop training materials </v>
      </c>
      <c r="C11" s="190">
        <f t="shared" ref="C11" si="7">SUM(D11:J11)</f>
        <v>21500</v>
      </c>
      <c r="D11" s="190">
        <f>'5. Fin Timeline'!D14</f>
        <v>12500</v>
      </c>
      <c r="E11" s="190">
        <f>'5. Fin Timeline'!E14</f>
        <v>4500</v>
      </c>
      <c r="F11" s="190">
        <f>'5. Fin Timeline'!F14</f>
        <v>4500</v>
      </c>
      <c r="G11" s="190">
        <f>'5. Fin Timeline'!G14</f>
        <v>0</v>
      </c>
      <c r="H11" s="190">
        <f>'5. Fin Timeline'!H14</f>
        <v>0</v>
      </c>
      <c r="I11" s="190">
        <f>'5. Fin Timeline'!I14</f>
        <v>0</v>
      </c>
      <c r="J11" s="190">
        <f>'5. Fin Timeline'!J14</f>
        <v>0</v>
      </c>
      <c r="K11" s="115"/>
      <c r="L11" s="115"/>
      <c r="M11" s="116"/>
      <c r="N11" s="116"/>
      <c r="O11" s="116"/>
      <c r="P11" s="116"/>
      <c r="Q11" s="116"/>
    </row>
    <row r="12" spans="1:17" s="117" customFormat="1" ht="12.95">
      <c r="A12" s="188" t="str">
        <f>'[1]5. Fin Timeline'!A15</f>
        <v xml:space="preserve">1.2.3: </v>
      </c>
      <c r="B12" s="189" t="str">
        <f>'[1]5. Fin Timeline'!B15</f>
        <v xml:space="preserve"> Train 68 machinery operators  </v>
      </c>
      <c r="C12" s="190">
        <f t="shared" ref="C12" si="8">SUM(D12:J12)</f>
        <v>14000</v>
      </c>
      <c r="D12" s="190">
        <f>'5. Fin Timeline'!D15</f>
        <v>7000</v>
      </c>
      <c r="E12" s="190">
        <f>'5. Fin Timeline'!E15</f>
        <v>7000</v>
      </c>
      <c r="F12" s="190">
        <f>'5. Fin Timeline'!F15</f>
        <v>0</v>
      </c>
      <c r="G12" s="190">
        <f>'5. Fin Timeline'!G15</f>
        <v>0</v>
      </c>
      <c r="H12" s="190">
        <f>'5. Fin Timeline'!H15</f>
        <v>0</v>
      </c>
      <c r="I12" s="190">
        <f>'5. Fin Timeline'!I15</f>
        <v>0</v>
      </c>
      <c r="J12" s="190">
        <f>'5. Fin Timeline'!J15</f>
        <v>0</v>
      </c>
      <c r="K12" s="115"/>
      <c r="L12" s="115"/>
      <c r="M12" s="116"/>
      <c r="N12" s="116"/>
      <c r="O12" s="116"/>
      <c r="P12" s="116"/>
      <c r="Q12" s="116"/>
    </row>
    <row r="13" spans="1:17" s="117" customFormat="1" ht="21">
      <c r="A13" s="188" t="str">
        <f>'[1]5. Fin Timeline'!A17</f>
        <v xml:space="preserve">1.2.5: </v>
      </c>
      <c r="B13" s="189" t="str">
        <f>'[1]5. Fin Timeline'!B17</f>
        <v xml:space="preserve"> Construct 11,362 small-scale water security systems (storage and livestock drinking facilities)</v>
      </c>
      <c r="C13" s="190">
        <f t="shared" si="6"/>
        <v>3726925</v>
      </c>
      <c r="D13" s="190">
        <f>'5. Fin Timeline'!D17</f>
        <v>372725</v>
      </c>
      <c r="E13" s="190">
        <f>'5. Fin Timeline'!E17</f>
        <v>744825</v>
      </c>
      <c r="F13" s="190">
        <f>'5. Fin Timeline'!F17</f>
        <v>1118325</v>
      </c>
      <c r="G13" s="190">
        <f>'5. Fin Timeline'!G17</f>
        <v>1118325</v>
      </c>
      <c r="H13" s="190">
        <f>'5. Fin Timeline'!H17</f>
        <v>372725</v>
      </c>
      <c r="I13" s="190">
        <f>'5. Fin Timeline'!I17</f>
        <v>0</v>
      </c>
      <c r="J13" s="190">
        <f>'5. Fin Timeline'!J17</f>
        <v>0</v>
      </c>
      <c r="K13" s="115"/>
      <c r="L13" s="115"/>
      <c r="M13" s="116"/>
      <c r="N13" s="116"/>
      <c r="O13" s="116"/>
      <c r="P13" s="116"/>
      <c r="Q13" s="116"/>
    </row>
    <row r="14" spans="1:17" s="117" customFormat="1" ht="12.95">
      <c r="A14" s="443" t="s">
        <v>50</v>
      </c>
      <c r="B14" s="444"/>
      <c r="C14" s="186">
        <f>SUM(D14:J14)</f>
        <v>76293800.806724682</v>
      </c>
      <c r="D14" s="191">
        <f t="shared" ref="D14:J14" si="9">SUM(D15:D18)</f>
        <v>10779931.964617811</v>
      </c>
      <c r="E14" s="191">
        <f t="shared" si="9"/>
        <v>10795880.673684476</v>
      </c>
      <c r="F14" s="191">
        <f t="shared" si="9"/>
        <v>11187994.273684477</v>
      </c>
      <c r="G14" s="191">
        <f t="shared" si="9"/>
        <v>11335184.273684477</v>
      </c>
      <c r="H14" s="191">
        <f t="shared" si="9"/>
        <v>10894680.273684477</v>
      </c>
      <c r="I14" s="191">
        <f t="shared" si="9"/>
        <v>10650064.673684478</v>
      </c>
      <c r="J14" s="191">
        <f t="shared" si="9"/>
        <v>10650064.673684478</v>
      </c>
      <c r="K14" s="116"/>
      <c r="L14" s="116"/>
      <c r="M14" s="116"/>
      <c r="N14" s="116"/>
      <c r="O14" s="116"/>
      <c r="P14" s="116"/>
      <c r="Q14" s="116"/>
    </row>
    <row r="15" spans="1:17" s="117" customFormat="1" ht="26.25" customHeight="1">
      <c r="A15" s="189" t="str">
        <f>'[1]5. Fin Timeline'!A9</f>
        <v xml:space="preserve">1.1.4: </v>
      </c>
      <c r="B15" s="189" t="str">
        <f>'[1]5. Fin Timeline'!B9</f>
        <v xml:space="preserve"> Apply technologies to marabu eradication on 15,544 ha </v>
      </c>
      <c r="C15" s="190">
        <f t="shared" si="6"/>
        <v>18538741.987146016</v>
      </c>
      <c r="D15" s="190">
        <f>'1.Detailed budget'!H14</f>
        <v>2648391.7124494305</v>
      </c>
      <c r="E15" s="190">
        <f>'1.Detailed budget'!I14</f>
        <v>2648391.7124494305</v>
      </c>
      <c r="F15" s="190">
        <f>'1.Detailed budget'!J14</f>
        <v>2648391.7124494305</v>
      </c>
      <c r="G15" s="190">
        <f>'1.Detailed budget'!K14</f>
        <v>2648391.7124494305</v>
      </c>
      <c r="H15" s="190">
        <f>'1.Detailed budget'!L14</f>
        <v>2648391.7124494305</v>
      </c>
      <c r="I15" s="190">
        <f>'1.Detailed budget'!M14</f>
        <v>2648391.7124494305</v>
      </c>
      <c r="J15" s="190">
        <f>'1.Detailed budget'!N14</f>
        <v>2648391.7124494305</v>
      </c>
      <c r="K15" s="115"/>
      <c r="L15" s="115"/>
      <c r="M15" s="116"/>
      <c r="N15" s="116"/>
      <c r="O15" s="116"/>
      <c r="P15" s="116"/>
      <c r="Q15" s="116"/>
    </row>
    <row r="16" spans="1:17" s="117" customFormat="1" ht="48" customHeight="1">
      <c r="A16" s="189" t="str">
        <f>'[1]5. Fin Timeline'!A11</f>
        <v xml:space="preserve">1.1.6: </v>
      </c>
      <c r="B16" s="189" t="str">
        <f>'[1]5. Fin Timeline'!B11</f>
        <v xml:space="preserve"> Establish and implement agroforestry, reforestation and assisted natural regeneration modules </v>
      </c>
      <c r="C16" s="190">
        <f t="shared" si="6"/>
        <v>20302021.617875773</v>
      </c>
      <c r="D16" s="190">
        <f>'5. Fin Timeline'!D11</f>
        <v>2660689.5188154336</v>
      </c>
      <c r="E16" s="190">
        <f>'5. Fin Timeline'!E11</f>
        <v>2817124.5498433895</v>
      </c>
      <c r="F16" s="190">
        <f>'5. Fin Timeline'!F11</f>
        <v>3209238.1498433901</v>
      </c>
      <c r="G16" s="190">
        <f>'5. Fin Timeline'!G11</f>
        <v>3356428.1498433901</v>
      </c>
      <c r="H16" s="190">
        <f>'5. Fin Timeline'!H11</f>
        <v>2915924.1498433901</v>
      </c>
      <c r="I16" s="190">
        <f>'5. Fin Timeline'!I11</f>
        <v>2671308.5498433895</v>
      </c>
      <c r="J16" s="190">
        <f>'5. Fin Timeline'!J11</f>
        <v>2671308.5498433895</v>
      </c>
      <c r="K16" s="115"/>
      <c r="L16" s="115"/>
      <c r="M16" s="116"/>
      <c r="N16" s="116"/>
      <c r="O16" s="116"/>
      <c r="P16" s="116"/>
      <c r="Q16" s="116"/>
    </row>
    <row r="17" spans="1:17" s="117" customFormat="1" ht="33.75" customHeight="1">
      <c r="A17" s="192" t="str">
        <f>'[1]5. Fin Timeline'!A16</f>
        <v xml:space="preserve">1.2.4: </v>
      </c>
      <c r="B17" s="192" t="str">
        <f>'[1]5. Fin Timeline'!B16</f>
        <v xml:space="preserve"> Implement sub-soiling of 20,189 hectares of compacted rangeland</v>
      </c>
      <c r="C17" s="190">
        <f t="shared" si="6"/>
        <v>20638849.826032512</v>
      </c>
      <c r="D17" s="190">
        <f>'5. Fin Timeline'!D16</f>
        <v>2948407.1180046443</v>
      </c>
      <c r="E17" s="190">
        <f>'5. Fin Timeline'!E16</f>
        <v>2948407.1180046443</v>
      </c>
      <c r="F17" s="190">
        <f>'5. Fin Timeline'!F16</f>
        <v>2948407.1180046443</v>
      </c>
      <c r="G17" s="190">
        <f>'5. Fin Timeline'!G16</f>
        <v>2948407.1180046443</v>
      </c>
      <c r="H17" s="190">
        <f>'5. Fin Timeline'!H16</f>
        <v>2948407.1180046443</v>
      </c>
      <c r="I17" s="190">
        <f>'5. Fin Timeline'!I16</f>
        <v>2948407.1180046443</v>
      </c>
      <c r="J17" s="190">
        <f>'5. Fin Timeline'!J16</f>
        <v>2948407.1180046443</v>
      </c>
      <c r="K17" s="115"/>
      <c r="L17" s="115"/>
      <c r="M17" s="116"/>
      <c r="N17" s="116"/>
      <c r="O17" s="116"/>
      <c r="P17" s="116"/>
      <c r="Q17" s="116"/>
    </row>
    <row r="18" spans="1:17" s="117" customFormat="1" ht="21">
      <c r="A18" s="192" t="str">
        <f>'[1]5. Fin Timeline'!A18</f>
        <v xml:space="preserve">1.2.6: </v>
      </c>
      <c r="B18" s="192" t="str">
        <f>'[1]5. Fin Timeline'!B18</f>
        <v xml:space="preserve"> Establish and implement sylvopastoral modules, including improved grazing systems </v>
      </c>
      <c r="C18" s="190">
        <f>SUM(D18:J18)</f>
        <v>16814187.375670381</v>
      </c>
      <c r="D18" s="190">
        <f>'5. Fin Timeline'!D18</f>
        <v>2522443.6153483028</v>
      </c>
      <c r="E18" s="190">
        <f>'5. Fin Timeline'!E18</f>
        <v>2381957.293387013</v>
      </c>
      <c r="F18" s="190">
        <f>'5. Fin Timeline'!F18</f>
        <v>2381957.293387013</v>
      </c>
      <c r="G18" s="190">
        <f>'5. Fin Timeline'!G18</f>
        <v>2381957.293387013</v>
      </c>
      <c r="H18" s="190">
        <f>'5. Fin Timeline'!H18</f>
        <v>2381957.293387013</v>
      </c>
      <c r="I18" s="190">
        <f>'5. Fin Timeline'!I18</f>
        <v>2381957.293387013</v>
      </c>
      <c r="J18" s="190">
        <f>'5. Fin Timeline'!J18</f>
        <v>2381957.293387013</v>
      </c>
      <c r="K18" s="115"/>
      <c r="L18" s="115"/>
      <c r="M18" s="116"/>
      <c r="N18" s="116"/>
      <c r="O18" s="116"/>
      <c r="P18" s="116"/>
      <c r="Q18" s="116"/>
    </row>
    <row r="19" spans="1:17" s="117" customFormat="1" ht="26.25" customHeight="1">
      <c r="A19" s="447" t="s">
        <v>632</v>
      </c>
      <c r="B19" s="447"/>
      <c r="C19" s="187">
        <f>SUM(D19:J19)</f>
        <v>826870</v>
      </c>
      <c r="D19" s="187">
        <f t="shared" ref="D19:J19" si="10">D20</f>
        <v>293410</v>
      </c>
      <c r="E19" s="187">
        <f t="shared" si="10"/>
        <v>205410</v>
      </c>
      <c r="F19" s="187">
        <f t="shared" si="10"/>
        <v>72910</v>
      </c>
      <c r="G19" s="187">
        <f t="shared" si="10"/>
        <v>77910</v>
      </c>
      <c r="H19" s="187">
        <f t="shared" si="10"/>
        <v>60910</v>
      </c>
      <c r="I19" s="187">
        <f t="shared" si="10"/>
        <v>60910</v>
      </c>
      <c r="J19" s="187">
        <f t="shared" si="10"/>
        <v>55410</v>
      </c>
      <c r="K19" s="115"/>
      <c r="L19" s="116"/>
      <c r="M19" s="116"/>
      <c r="N19" s="116"/>
      <c r="O19" s="116"/>
      <c r="P19" s="116"/>
      <c r="Q19" s="116"/>
    </row>
    <row r="20" spans="1:17" s="117" customFormat="1" ht="12.95">
      <c r="A20" s="443" t="s">
        <v>653</v>
      </c>
      <c r="B20" s="444"/>
      <c r="C20" s="193">
        <f>SUM(D20:J20)</f>
        <v>826870</v>
      </c>
      <c r="D20" s="186">
        <f t="shared" ref="D20:J20" si="11">SUM(D21:D25)</f>
        <v>293410</v>
      </c>
      <c r="E20" s="186">
        <f t="shared" si="11"/>
        <v>205410</v>
      </c>
      <c r="F20" s="186">
        <f t="shared" si="11"/>
        <v>72910</v>
      </c>
      <c r="G20" s="186">
        <f t="shared" si="11"/>
        <v>77910</v>
      </c>
      <c r="H20" s="186">
        <f t="shared" si="11"/>
        <v>60910</v>
      </c>
      <c r="I20" s="186">
        <f t="shared" si="11"/>
        <v>60910</v>
      </c>
      <c r="J20" s="186">
        <f t="shared" si="11"/>
        <v>55410</v>
      </c>
      <c r="K20" s="116"/>
      <c r="L20" s="116"/>
      <c r="M20" s="116"/>
      <c r="N20" s="116"/>
      <c r="O20" s="116"/>
      <c r="P20" s="116"/>
      <c r="Q20" s="116"/>
    </row>
    <row r="21" spans="1:17" s="117" customFormat="1" ht="21">
      <c r="A21" s="192" t="str">
        <f>'[1]5. Fin Timeline'!A21</f>
        <v xml:space="preserve">2.1.1: </v>
      </c>
      <c r="B21" s="192" t="str">
        <f>'[1]5. Fin Timeline'!B21</f>
        <v xml:space="preserve"> Develop training   materials for use by trainers of extensionists</v>
      </c>
      <c r="C21" s="194">
        <f t="shared" ref="C21:C25" si="12">SUM(D21:J21)</f>
        <v>18000</v>
      </c>
      <c r="D21" s="190">
        <f>'5. Fin Timeline'!D21</f>
        <v>3000</v>
      </c>
      <c r="E21" s="190">
        <f>'5. Fin Timeline'!E21</f>
        <v>3000</v>
      </c>
      <c r="F21" s="190">
        <f>'5. Fin Timeline'!F21</f>
        <v>3000</v>
      </c>
      <c r="G21" s="190">
        <f>'5. Fin Timeline'!G21</f>
        <v>3000</v>
      </c>
      <c r="H21" s="190">
        <f>'5. Fin Timeline'!H21</f>
        <v>3000</v>
      </c>
      <c r="I21" s="190">
        <f>'5. Fin Timeline'!I21</f>
        <v>3000</v>
      </c>
      <c r="J21" s="190">
        <f>'5. Fin Timeline'!J21</f>
        <v>0</v>
      </c>
      <c r="K21" s="115"/>
      <c r="L21" s="115"/>
      <c r="M21" s="116"/>
      <c r="N21" s="116"/>
      <c r="O21" s="116"/>
      <c r="P21" s="116"/>
      <c r="Q21" s="116"/>
    </row>
    <row r="22" spans="1:17" s="117" customFormat="1" ht="42">
      <c r="A22" s="192" t="str">
        <f>'[1]5. Fin Timeline'!A22</f>
        <v xml:space="preserve">2.1.2: </v>
      </c>
      <c r="B22" s="192" t="str">
        <f>'[1]5. Fin Timeline'!B22</f>
        <v xml:space="preserve"> Train 443 extension service technicians, agricultural technicians, and cooperative leaders   to lead  farmers in gender and age-sensitive learning-by-doing regarding the implementation, operations an</v>
      </c>
      <c r="C22" s="194">
        <f t="shared" si="12"/>
        <v>50000</v>
      </c>
      <c r="D22" s="190">
        <f>'5. Fin Timeline'!D22</f>
        <v>35000</v>
      </c>
      <c r="E22" s="190">
        <f>'5. Fin Timeline'!E22</f>
        <v>15000</v>
      </c>
      <c r="F22" s="190">
        <f>'5. Fin Timeline'!F22</f>
        <v>0</v>
      </c>
      <c r="G22" s="190">
        <f>'5. Fin Timeline'!G22</f>
        <v>0</v>
      </c>
      <c r="H22" s="190">
        <f>'5. Fin Timeline'!H22</f>
        <v>0</v>
      </c>
      <c r="I22" s="190">
        <f>'5. Fin Timeline'!I22</f>
        <v>0</v>
      </c>
      <c r="J22" s="190">
        <f>'5. Fin Timeline'!J22</f>
        <v>0</v>
      </c>
      <c r="K22" s="115"/>
      <c r="L22" s="115"/>
      <c r="M22" s="116"/>
      <c r="N22" s="116"/>
      <c r="O22" s="116"/>
      <c r="P22" s="116"/>
      <c r="Q22" s="116"/>
    </row>
    <row r="23" spans="1:17" s="117" customFormat="1" ht="42">
      <c r="A23" s="192" t="str">
        <f>'[1]5. Fin Timeline'!A23</f>
        <v xml:space="preserve">2.1.3: </v>
      </c>
      <c r="B23" s="192" t="str">
        <f>'[1]5. Fin Timeline'!B23</f>
        <v xml:space="preserve"> Development of supplementary learning materials and information on CC, ecosystem function and services, agroecology, agroforestry and forestry systems, and farm economics;</v>
      </c>
      <c r="C23" s="194">
        <f t="shared" si="12"/>
        <v>40000</v>
      </c>
      <c r="D23" s="190">
        <f>'5. Fin Timeline'!D23</f>
        <v>20000</v>
      </c>
      <c r="E23" s="190">
        <f>'5. Fin Timeline'!E23</f>
        <v>20000</v>
      </c>
      <c r="F23" s="190">
        <f>'5. Fin Timeline'!F23</f>
        <v>0</v>
      </c>
      <c r="G23" s="190">
        <f>'5. Fin Timeline'!G23</f>
        <v>0</v>
      </c>
      <c r="H23" s="190">
        <f>'5. Fin Timeline'!H23</f>
        <v>0</v>
      </c>
      <c r="I23" s="190">
        <f>'5. Fin Timeline'!I23</f>
        <v>0</v>
      </c>
      <c r="J23" s="190">
        <f>'5. Fin Timeline'!J23</f>
        <v>0</v>
      </c>
      <c r="K23" s="115"/>
      <c r="L23" s="115"/>
      <c r="M23" s="116"/>
      <c r="N23" s="116"/>
      <c r="O23" s="116"/>
      <c r="P23" s="116"/>
      <c r="Q23" s="116"/>
    </row>
    <row r="24" spans="1:17" s="117" customFormat="1" ht="42">
      <c r="A24" s="192" t="str">
        <f>'[1]5. Fin Timeline'!A25</f>
        <v xml:space="preserve">2.2.1: </v>
      </c>
      <c r="B24" s="192" t="str">
        <f>'[1]5. Fin Timeline'!B25</f>
        <v xml:space="preserve"> Establish or strengthen existing Farmer Field Schools (17) in the seven municipalities based on type of agroforestry, sylvopastoral or forestry system to be implemented and logistical and other consi</v>
      </c>
      <c r="C24" s="194">
        <f t="shared" si="12"/>
        <v>274000</v>
      </c>
      <c r="D24" s="190">
        <f>'5. Fin Timeline'!D25</f>
        <v>146000</v>
      </c>
      <c r="E24" s="190">
        <f>'5. Fin Timeline'!E25</f>
        <v>78000</v>
      </c>
      <c r="F24" s="190">
        <f>'5. Fin Timeline'!F25</f>
        <v>8000</v>
      </c>
      <c r="G24" s="190">
        <f>'5. Fin Timeline'!G25</f>
        <v>13000</v>
      </c>
      <c r="H24" s="190">
        <f>'5. Fin Timeline'!H25</f>
        <v>8000</v>
      </c>
      <c r="I24" s="190">
        <f>'5. Fin Timeline'!I25</f>
        <v>8000</v>
      </c>
      <c r="J24" s="190">
        <f>'5. Fin Timeline'!J25</f>
        <v>13000</v>
      </c>
      <c r="K24" s="115"/>
      <c r="L24" s="115"/>
      <c r="M24" s="116"/>
      <c r="N24" s="116"/>
      <c r="O24" s="116"/>
      <c r="P24" s="116"/>
      <c r="Q24" s="116"/>
    </row>
    <row r="25" spans="1:17" s="117" customFormat="1" ht="31.5">
      <c r="A25" s="192" t="str">
        <f>'[1]5. Fin Timeline'!A26</f>
        <v xml:space="preserve">2.2.2: </v>
      </c>
      <c r="B25" s="192" t="str">
        <f>'[1]5. Fin Timeline'!B26</f>
        <v xml:space="preserve"> Implementation of 17 Farmer Field Schools and training of 15,549   farmers using the participatory research and learning-by-doing approach.</v>
      </c>
      <c r="C25" s="194">
        <f t="shared" si="12"/>
        <v>444870</v>
      </c>
      <c r="D25" s="190">
        <f>'5. Fin Timeline'!D26</f>
        <v>89410</v>
      </c>
      <c r="E25" s="190">
        <f>'5. Fin Timeline'!E26</f>
        <v>89410</v>
      </c>
      <c r="F25" s="190">
        <f>'5. Fin Timeline'!F26</f>
        <v>61910</v>
      </c>
      <c r="G25" s="190">
        <f>'5. Fin Timeline'!G26</f>
        <v>61910</v>
      </c>
      <c r="H25" s="190">
        <f>'5. Fin Timeline'!H26</f>
        <v>49910</v>
      </c>
      <c r="I25" s="190">
        <f>'5. Fin Timeline'!I26</f>
        <v>49910</v>
      </c>
      <c r="J25" s="190">
        <f>'5. Fin Timeline'!J26</f>
        <v>42410</v>
      </c>
      <c r="K25" s="115"/>
      <c r="L25" s="115"/>
      <c r="M25" s="116"/>
      <c r="N25" s="116"/>
      <c r="O25" s="116"/>
      <c r="P25" s="116"/>
      <c r="Q25" s="116"/>
    </row>
    <row r="26" spans="1:17" s="117" customFormat="1" ht="39.75" customHeight="1">
      <c r="A26" s="447" t="s">
        <v>633</v>
      </c>
      <c r="B26" s="447"/>
      <c r="C26" s="187">
        <f>SUM(D26:J26)</f>
        <v>944692.00080000004</v>
      </c>
      <c r="D26" s="187">
        <f t="shared" ref="D26:J26" si="13">D27+D39</f>
        <v>166718.41769670334</v>
      </c>
      <c r="E26" s="187">
        <f t="shared" si="13"/>
        <v>158412.26385054944</v>
      </c>
      <c r="F26" s="187">
        <f t="shared" si="13"/>
        <v>136912.26385054944</v>
      </c>
      <c r="G26" s="187">
        <f t="shared" si="13"/>
        <v>145078.93051721604</v>
      </c>
      <c r="H26" s="187">
        <f t="shared" si="13"/>
        <v>115412.26385054944</v>
      </c>
      <c r="I26" s="187">
        <f t="shared" si="13"/>
        <v>97992.309255954839</v>
      </c>
      <c r="J26" s="187">
        <f t="shared" si="13"/>
        <v>124165.55177847733</v>
      </c>
      <c r="K26" s="116"/>
      <c r="L26" s="116"/>
      <c r="M26" s="116"/>
      <c r="N26" s="116"/>
      <c r="O26" s="116"/>
      <c r="P26" s="116"/>
      <c r="Q26" s="116"/>
    </row>
    <row r="27" spans="1:17" s="117" customFormat="1" ht="12.95">
      <c r="A27" s="443" t="s">
        <v>653</v>
      </c>
      <c r="B27" s="444"/>
      <c r="C27" s="186">
        <f>SUM(D27:J27)</f>
        <v>393499.99999999988</v>
      </c>
      <c r="D27" s="186">
        <f t="shared" ref="D27:J27" si="14">SUM(D28:D38)</f>
        <v>87976.703296703345</v>
      </c>
      <c r="E27" s="186">
        <f t="shared" si="14"/>
        <v>79670.549450549443</v>
      </c>
      <c r="F27" s="186">
        <f t="shared" si="14"/>
        <v>58170.549450549443</v>
      </c>
      <c r="G27" s="186">
        <f t="shared" si="14"/>
        <v>66337.216117216041</v>
      </c>
      <c r="H27" s="186">
        <f t="shared" si="14"/>
        <v>36670.549450549443</v>
      </c>
      <c r="I27" s="186">
        <f t="shared" si="14"/>
        <v>19250.594855954841</v>
      </c>
      <c r="J27" s="186">
        <f t="shared" si="14"/>
        <v>45423.837378477336</v>
      </c>
      <c r="K27" s="116"/>
      <c r="L27" s="116"/>
      <c r="M27" s="116"/>
      <c r="N27" s="116"/>
      <c r="O27" s="116"/>
      <c r="P27" s="116"/>
      <c r="Q27" s="116"/>
    </row>
    <row r="28" spans="1:17" s="117" customFormat="1" ht="42">
      <c r="A28" s="192" t="str">
        <f>'[1]5. Fin Timeline'!A29</f>
        <v xml:space="preserve">3.1.1: </v>
      </c>
      <c r="B28" s="192" t="str">
        <f>'[1]5. Fin Timeline'!B29</f>
        <v xml:space="preserve"> Ten workshops with expert assistance and input (international and national experts) to facilitate inter-institutional analyses and discussions regarding policy objectives, needs and options for the m</v>
      </c>
      <c r="C28" s="186">
        <f>SUM(D28:J28)</f>
        <v>250499.99999999985</v>
      </c>
      <c r="D28" s="190">
        <f>'3. Indicative procurement plan'!G37+'3. Indicative procurement plan'!G38</f>
        <v>58476.703296703337</v>
      </c>
      <c r="E28" s="190">
        <f>'3. Indicative procurement plan'!H37+'3. Indicative procurement plan'!H38</f>
        <v>43670.549450549435</v>
      </c>
      <c r="F28" s="190">
        <f>'3. Indicative procurement plan'!I37+'3. Indicative procurement plan'!I38</f>
        <v>25170.549450549443</v>
      </c>
      <c r="G28" s="190">
        <f>'3. Indicative procurement plan'!J37+'3. Indicative procurement plan'!J38</f>
        <v>43837.216117216034</v>
      </c>
      <c r="H28" s="190">
        <f>'3. Indicative procurement plan'!K37+'3. Indicative procurement plan'!K38</f>
        <v>25170.549450549443</v>
      </c>
      <c r="I28" s="190">
        <f>'3. Indicative procurement plan'!L37+'3. Indicative procurement plan'!L38</f>
        <v>15250.59485595484</v>
      </c>
      <c r="J28" s="190">
        <f>'3. Indicative procurement plan'!M37+'3. Indicative procurement plan'!M38</f>
        <v>38923.837378477336</v>
      </c>
      <c r="K28" s="116"/>
      <c r="L28" s="116"/>
      <c r="M28" s="116"/>
      <c r="N28" s="116"/>
      <c r="O28" s="116"/>
      <c r="P28" s="116"/>
      <c r="Q28" s="116"/>
    </row>
    <row r="29" spans="1:17" s="117" customFormat="1" ht="42">
      <c r="A29" s="192" t="str">
        <f>'[1]5. Fin Timeline'!A30</f>
        <v xml:space="preserve">3.1.2: </v>
      </c>
      <c r="B29" s="192" t="str">
        <f>'[1]5. Fin Timeline'!B30</f>
        <v xml:space="preserve"> Definition and discussion of institutional modifications or adaptations in support of the different options for policy reforms to support landscape resilience through improved ecosystem services;</v>
      </c>
      <c r="C29" s="450">
        <f>SUM(D29:J30)</f>
        <v>7000</v>
      </c>
      <c r="D29" s="448">
        <f>'3. Indicative procurement plan'!G39</f>
        <v>0</v>
      </c>
      <c r="E29" s="448">
        <f>'3. Indicative procurement plan'!H39</f>
        <v>2000</v>
      </c>
      <c r="F29" s="448">
        <f>'3. Indicative procurement plan'!I39</f>
        <v>2000</v>
      </c>
      <c r="G29" s="448">
        <f>'3. Indicative procurement plan'!J39</f>
        <v>2000</v>
      </c>
      <c r="H29" s="448">
        <f>'3. Indicative procurement plan'!K39</f>
        <v>1000</v>
      </c>
      <c r="I29" s="448">
        <f>'3. Indicative procurement plan'!L39</f>
        <v>0</v>
      </c>
      <c r="J29" s="448">
        <f>'3. Indicative procurement plan'!M39</f>
        <v>0</v>
      </c>
      <c r="K29" s="116"/>
      <c r="L29" s="116"/>
      <c r="M29" s="116"/>
      <c r="N29" s="116"/>
      <c r="O29" s="116"/>
      <c r="P29" s="116"/>
      <c r="Q29" s="116"/>
    </row>
    <row r="30" spans="1:17" s="117" customFormat="1" ht="63.75" customHeight="1">
      <c r="A30" s="192" t="str">
        <f>'[1]5. Fin Timeline'!A31</f>
        <v xml:space="preserve">3.1.3: </v>
      </c>
      <c r="B30" s="192" t="str">
        <f>'[1]5. Fin Timeline'!B31</f>
        <v xml:space="preserve"> Development of specific proposals for policy reforms;</v>
      </c>
      <c r="C30" s="451"/>
      <c r="D30" s="449"/>
      <c r="E30" s="449"/>
      <c r="F30" s="449"/>
      <c r="G30" s="449"/>
      <c r="H30" s="449"/>
      <c r="I30" s="449"/>
      <c r="J30" s="449"/>
      <c r="K30" s="116"/>
      <c r="L30" s="116"/>
      <c r="M30" s="116"/>
      <c r="N30" s="116"/>
      <c r="O30" s="116"/>
      <c r="P30" s="116"/>
      <c r="Q30" s="116"/>
    </row>
    <row r="31" spans="1:17" s="117" customFormat="1" ht="12.95">
      <c r="A31" s="192" t="str">
        <f>'[1]5. Fin Timeline'!A32</f>
        <v xml:space="preserve">3.1.4: </v>
      </c>
      <c r="B31" s="192" t="str">
        <f>'[1]5. Fin Timeline'!B32</f>
        <v xml:space="preserve"> Discussion of reform proposals at national level.</v>
      </c>
      <c r="C31" s="186">
        <f t="shared" ref="C31:C46" si="15">SUM(D31:J31)</f>
        <v>3000</v>
      </c>
      <c r="D31" s="190">
        <f>'3. Indicative procurement plan'!G41</f>
        <v>0</v>
      </c>
      <c r="E31" s="190">
        <f>'3. Indicative procurement plan'!H41</f>
        <v>2000</v>
      </c>
      <c r="F31" s="190">
        <f>'3. Indicative procurement plan'!I41</f>
        <v>1000</v>
      </c>
      <c r="G31" s="190">
        <f>'3. Indicative procurement plan'!J41</f>
        <v>0</v>
      </c>
      <c r="H31" s="190">
        <f>'3. Indicative procurement plan'!K41</f>
        <v>0</v>
      </c>
      <c r="I31" s="190">
        <f>'3. Indicative procurement plan'!L41</f>
        <v>0</v>
      </c>
      <c r="J31" s="190">
        <f>'3. Indicative procurement plan'!M41</f>
        <v>0</v>
      </c>
      <c r="K31" s="116"/>
      <c r="L31" s="116"/>
      <c r="M31" s="116"/>
      <c r="N31" s="116"/>
      <c r="O31" s="116"/>
      <c r="P31" s="116"/>
      <c r="Q31" s="116"/>
    </row>
    <row r="32" spans="1:17" s="117" customFormat="1" ht="21">
      <c r="A32" s="192" t="str">
        <f>'[1]5. Fin Timeline'!A34</f>
        <v xml:space="preserve">3.2.1: </v>
      </c>
      <c r="B32" s="192" t="str">
        <f>'[1]5. Fin Timeline'!B34</f>
        <v xml:space="preserve"> Expert analyses of existing funds (FONADEF, SCF) and other funds both regionally and globally;</v>
      </c>
      <c r="C32" s="186">
        <f t="shared" si="15"/>
        <v>8000</v>
      </c>
      <c r="D32" s="190">
        <f>'3. Indicative procurement plan'!G42</f>
        <v>2000</v>
      </c>
      <c r="E32" s="190">
        <f>'3. Indicative procurement plan'!H42</f>
        <v>2000</v>
      </c>
      <c r="F32" s="190">
        <f>'3. Indicative procurement plan'!I42</f>
        <v>4000</v>
      </c>
      <c r="G32" s="190">
        <f>'3. Indicative procurement plan'!J42</f>
        <v>0</v>
      </c>
      <c r="H32" s="190">
        <f>'3. Indicative procurement plan'!K42</f>
        <v>0</v>
      </c>
      <c r="I32" s="190">
        <f>'3. Indicative procurement plan'!L42</f>
        <v>0</v>
      </c>
      <c r="J32" s="190">
        <f>'3. Indicative procurement plan'!M42</f>
        <v>0</v>
      </c>
      <c r="K32" s="116"/>
      <c r="L32" s="116"/>
      <c r="M32" s="116"/>
      <c r="N32" s="116"/>
      <c r="O32" s="116"/>
      <c r="P32" s="116"/>
      <c r="Q32" s="116"/>
    </row>
    <row r="33" spans="1:17" s="117" customFormat="1" ht="12.75" customHeight="1">
      <c r="A33" s="192" t="str">
        <f>'[1]5. Fin Timeline'!A35</f>
        <v xml:space="preserve">3.2.2: </v>
      </c>
      <c r="B33" s="192" t="str">
        <f>'[1]5. Fin Timeline'!B35</f>
        <v xml:space="preserve"> Ten workshops to analyze and develop options for a Landscape Resilience Fund to support implementation of landscape resilience policies on the ground;</v>
      </c>
      <c r="C33" s="186">
        <f t="shared" si="15"/>
        <v>30000</v>
      </c>
      <c r="D33" s="190">
        <f>'3. Indicative procurement plan'!G43</f>
        <v>7500</v>
      </c>
      <c r="E33" s="190">
        <f>'3. Indicative procurement plan'!H43</f>
        <v>10000</v>
      </c>
      <c r="F33" s="190">
        <f>'3. Indicative procurement plan'!I43</f>
        <v>7500</v>
      </c>
      <c r="G33" s="190">
        <f>'3. Indicative procurement plan'!J43</f>
        <v>5000</v>
      </c>
      <c r="H33" s="190">
        <f>'3. Indicative procurement plan'!K43</f>
        <v>0</v>
      </c>
      <c r="I33" s="190">
        <f>'3. Indicative procurement plan'!L43</f>
        <v>0</v>
      </c>
      <c r="J33" s="190">
        <f>'3. Indicative procurement plan'!M43</f>
        <v>0</v>
      </c>
      <c r="K33" s="116"/>
      <c r="L33" s="116"/>
      <c r="M33" s="116"/>
      <c r="N33" s="116"/>
      <c r="O33" s="116"/>
      <c r="P33" s="116"/>
      <c r="Q33" s="116"/>
    </row>
    <row r="34" spans="1:17" s="117" customFormat="1" ht="24" customHeight="1">
      <c r="A34" s="192" t="str">
        <f>'[1]5. Fin Timeline'!A36</f>
        <v xml:space="preserve">3.2.3: </v>
      </c>
      <c r="B34" s="192" t="str">
        <f>'[1]5. Fin Timeline'!B36</f>
        <v xml:space="preserve"> Design of a Landscape Resilience Fund to support resilience-enhancing land use by farmers and producers’ organizations;</v>
      </c>
      <c r="C34" s="186">
        <f t="shared" si="15"/>
        <v>30000</v>
      </c>
      <c r="D34" s="190">
        <f>'3. Indicative procurement plan'!G44</f>
        <v>0</v>
      </c>
      <c r="E34" s="190">
        <f>'3. Indicative procurement plan'!H44</f>
        <v>7500</v>
      </c>
      <c r="F34" s="190">
        <f>'3. Indicative procurement plan'!I44</f>
        <v>10000</v>
      </c>
      <c r="G34" s="190">
        <f>'3. Indicative procurement plan'!J44</f>
        <v>7500</v>
      </c>
      <c r="H34" s="190">
        <f>'3. Indicative procurement plan'!K44</f>
        <v>5000</v>
      </c>
      <c r="I34" s="190">
        <f>'3. Indicative procurement plan'!L44</f>
        <v>0</v>
      </c>
      <c r="J34" s="190">
        <f>'3. Indicative procurement plan'!M44</f>
        <v>0</v>
      </c>
      <c r="K34" s="116"/>
      <c r="L34" s="116"/>
      <c r="M34" s="116"/>
      <c r="N34" s="116"/>
      <c r="O34" s="116"/>
      <c r="P34" s="116"/>
      <c r="Q34" s="116"/>
    </row>
    <row r="35" spans="1:17" s="117" customFormat="1" ht="21">
      <c r="A35" s="192" t="str">
        <f>'[1]5. Fin Timeline'!A38</f>
        <v xml:space="preserve">3.2.5: </v>
      </c>
      <c r="B35" s="192" t="str">
        <f>'[1]5. Fin Timeline'!B38</f>
        <v xml:space="preserve"> Elaboration of communication strategy and materials, and dissemination.</v>
      </c>
      <c r="C35" s="186">
        <f t="shared" si="15"/>
        <v>23500</v>
      </c>
      <c r="D35" s="190">
        <f>SUM('3. Indicative procurement plan'!G45:G47)</f>
        <v>14500</v>
      </c>
      <c r="E35" s="190">
        <f>SUM('3. Indicative procurement plan'!H45:H47)</f>
        <v>4000</v>
      </c>
      <c r="F35" s="190">
        <f>SUM('3. Indicative procurement plan'!I45:I47)</f>
        <v>0</v>
      </c>
      <c r="G35" s="190">
        <f>SUM('3. Indicative procurement plan'!J45:J47)</f>
        <v>2500</v>
      </c>
      <c r="H35" s="190">
        <f>SUM('3. Indicative procurement plan'!K45:K47)</f>
        <v>0</v>
      </c>
      <c r="I35" s="190">
        <f>SUM('3. Indicative procurement plan'!L45:L47)</f>
        <v>0</v>
      </c>
      <c r="J35" s="190">
        <f>SUM('3. Indicative procurement plan'!M45:M47)</f>
        <v>2500</v>
      </c>
      <c r="K35" s="116"/>
      <c r="L35" s="116"/>
      <c r="M35" s="116"/>
      <c r="N35" s="116"/>
      <c r="O35" s="116"/>
      <c r="P35" s="116"/>
      <c r="Q35" s="116"/>
    </row>
    <row r="36" spans="1:17" s="117" customFormat="1" ht="42">
      <c r="A36" s="192" t="str">
        <f>'[1]5. Fin Timeline'!A40</f>
        <v xml:space="preserve">3.3.1: </v>
      </c>
      <c r="B36" s="192" t="str">
        <f>'[1]5. Fin Timeline'!B40</f>
        <v xml:space="preserve"> Train 30 senior management staff from 10 local branches of established organizations   (Asociacion Cubana de Tecnicos Agricolas y Forestales - ACTAF, Asociacion Cubana de Produccion Animal - ACPA, As</v>
      </c>
      <c r="C36" s="186">
        <f t="shared" si="15"/>
        <v>17500</v>
      </c>
      <c r="D36" s="190">
        <f>'3. Indicative procurement plan'!G48</f>
        <v>2500</v>
      </c>
      <c r="E36" s="190">
        <f>'3. Indicative procurement plan'!H48</f>
        <v>2500</v>
      </c>
      <c r="F36" s="190">
        <f>'3. Indicative procurement plan'!I48</f>
        <v>2500</v>
      </c>
      <c r="G36" s="190">
        <f>'3. Indicative procurement plan'!J48</f>
        <v>2500</v>
      </c>
      <c r="H36" s="190">
        <f>'3. Indicative procurement plan'!K48</f>
        <v>2500</v>
      </c>
      <c r="I36" s="190">
        <f>'3. Indicative procurement plan'!L48</f>
        <v>2500</v>
      </c>
      <c r="J36" s="190">
        <f>'3. Indicative procurement plan'!M48</f>
        <v>2500</v>
      </c>
      <c r="K36" s="116"/>
      <c r="L36" s="116"/>
      <c r="M36" s="116"/>
      <c r="N36" s="116"/>
      <c r="O36" s="116"/>
      <c r="P36" s="116"/>
      <c r="Q36" s="116"/>
    </row>
    <row r="37" spans="1:17" s="117" customFormat="1" ht="31.5">
      <c r="A37" s="192" t="str">
        <f>'[1]5. Fin Timeline'!A41</f>
        <v xml:space="preserve">3.3.2: </v>
      </c>
      <c r="B37" s="192" t="str">
        <f>'[1]5. Fin Timeline'!B41</f>
        <v xml:space="preserve"> Multi-level review and analysis of landscape resilience policies and planning instruments as a framework for adaptive landscape management;</v>
      </c>
      <c r="C37" s="186">
        <f t="shared" si="15"/>
        <v>7500</v>
      </c>
      <c r="D37" s="190">
        <f>'3. Indicative procurement plan'!G49</f>
        <v>1500</v>
      </c>
      <c r="E37" s="190">
        <f>'3. Indicative procurement plan'!H49</f>
        <v>1500</v>
      </c>
      <c r="F37" s="190">
        <f>'3. Indicative procurement plan'!I49</f>
        <v>1500</v>
      </c>
      <c r="G37" s="190">
        <f>'3. Indicative procurement plan'!J49</f>
        <v>1500</v>
      </c>
      <c r="H37" s="190">
        <f>'3. Indicative procurement plan'!K49</f>
        <v>1500</v>
      </c>
      <c r="I37" s="190">
        <f>'3. Indicative procurement plan'!L49</f>
        <v>0</v>
      </c>
      <c r="J37" s="190">
        <f>'3. Indicative procurement plan'!M49</f>
        <v>0</v>
      </c>
      <c r="K37" s="116"/>
      <c r="L37" s="116"/>
      <c r="M37" s="116"/>
      <c r="N37" s="116"/>
      <c r="O37" s="116"/>
      <c r="P37" s="116"/>
      <c r="Q37" s="116"/>
    </row>
    <row r="38" spans="1:17" s="117" customFormat="1" ht="42">
      <c r="A38" s="192" t="str">
        <f>'[1]5. Fin Timeline'!A42</f>
        <v xml:space="preserve">3.3.3: </v>
      </c>
      <c r="B38" s="192" t="str">
        <f>'[1]5. Fin Timeline'!B42</f>
        <v xml:space="preserve"> Fifteen workshops to strengthen coordination in local landscape governance structures for climate change adaptation: Comision de Reforestacion, Grupo de Bahia, Comision de Cuencas Hidrograficas, Comi</v>
      </c>
      <c r="C38" s="186">
        <f t="shared" si="15"/>
        <v>16500</v>
      </c>
      <c r="D38" s="190">
        <f>SUM('3. Indicative procurement plan'!G50:G51)</f>
        <v>1500</v>
      </c>
      <c r="E38" s="190">
        <f>SUM('3. Indicative procurement plan'!H50:H51)</f>
        <v>4500</v>
      </c>
      <c r="F38" s="190">
        <f>SUM('3. Indicative procurement plan'!I50:I51)</f>
        <v>4500</v>
      </c>
      <c r="G38" s="190">
        <f>SUM('3. Indicative procurement plan'!J50:J51)</f>
        <v>1500</v>
      </c>
      <c r="H38" s="190">
        <f>SUM('3. Indicative procurement plan'!K50:K51)</f>
        <v>1500</v>
      </c>
      <c r="I38" s="190">
        <f>SUM('3. Indicative procurement plan'!L50:L51)</f>
        <v>1500</v>
      </c>
      <c r="J38" s="190">
        <f>SUM('3. Indicative procurement plan'!M50:M51)</f>
        <v>1500</v>
      </c>
      <c r="K38" s="116"/>
      <c r="L38" s="116"/>
      <c r="M38" s="116"/>
      <c r="N38" s="116"/>
      <c r="O38" s="116"/>
      <c r="P38" s="116"/>
      <c r="Q38" s="116"/>
    </row>
    <row r="39" spans="1:17" s="117" customFormat="1" ht="12.95">
      <c r="A39" s="443" t="s">
        <v>50</v>
      </c>
      <c r="B39" s="444"/>
      <c r="C39" s="186">
        <f t="shared" si="15"/>
        <v>551192.00080000004</v>
      </c>
      <c r="D39" s="143">
        <f t="shared" ref="D39:E39" si="16">SUM(D40)</f>
        <v>78741.714399999997</v>
      </c>
      <c r="E39" s="143">
        <f t="shared" si="16"/>
        <v>78741.714399999997</v>
      </c>
      <c r="F39" s="143">
        <f t="shared" ref="F39:J39" si="17">SUM(F40)</f>
        <v>78741.714399999997</v>
      </c>
      <c r="G39" s="143">
        <f t="shared" si="17"/>
        <v>78741.714399999997</v>
      </c>
      <c r="H39" s="143">
        <f t="shared" si="17"/>
        <v>78741.714399999997</v>
      </c>
      <c r="I39" s="143">
        <f t="shared" si="17"/>
        <v>78741.714399999997</v>
      </c>
      <c r="J39" s="143">
        <f t="shared" si="17"/>
        <v>78741.714399999997</v>
      </c>
      <c r="K39" s="116"/>
      <c r="L39" s="116"/>
      <c r="M39" s="116"/>
      <c r="N39" s="116"/>
      <c r="O39" s="116"/>
      <c r="P39" s="116"/>
      <c r="Q39" s="116"/>
    </row>
    <row r="40" spans="1:17" s="117" customFormat="1" ht="12.95">
      <c r="A40" s="190" t="str">
        <f>'[1]5. Fin Timeline'!A37</f>
        <v xml:space="preserve">3.2.4: </v>
      </c>
      <c r="B40" s="190" t="str">
        <f>'[1]5. Fin Timeline'!B37</f>
        <v xml:space="preserve"> Formal legal establishment of the Landscape Resilience Fund;</v>
      </c>
      <c r="C40" s="186">
        <f t="shared" si="15"/>
        <v>551192.00080000004</v>
      </c>
      <c r="D40" s="190">
        <f>'1.Detailed budget'!H56</f>
        <v>78741.714399999997</v>
      </c>
      <c r="E40" s="190">
        <f>'1.Detailed budget'!I56</f>
        <v>78741.714399999997</v>
      </c>
      <c r="F40" s="190">
        <f>'1.Detailed budget'!J56</f>
        <v>78741.714399999997</v>
      </c>
      <c r="G40" s="190">
        <f>'1.Detailed budget'!K56</f>
        <v>78741.714399999997</v>
      </c>
      <c r="H40" s="190">
        <f>'1.Detailed budget'!L56</f>
        <v>78741.714399999997</v>
      </c>
      <c r="I40" s="190">
        <f>'1.Detailed budget'!M56</f>
        <v>78741.714399999997</v>
      </c>
      <c r="J40" s="190">
        <f>'1.Detailed budget'!N56</f>
        <v>78741.714399999997</v>
      </c>
      <c r="K40" s="116"/>
      <c r="L40" s="116"/>
      <c r="M40" s="116"/>
      <c r="N40" s="116"/>
      <c r="O40" s="116"/>
      <c r="P40" s="116"/>
      <c r="Q40" s="116"/>
    </row>
    <row r="41" spans="1:17" s="117" customFormat="1" ht="12.95">
      <c r="A41" s="452" t="s">
        <v>634</v>
      </c>
      <c r="B41" s="452"/>
      <c r="C41" s="187">
        <f t="shared" si="15"/>
        <v>6372478.9066666653</v>
      </c>
      <c r="D41" s="187">
        <f>SUM(D42:D43)</f>
        <v>1359533.5580952382</v>
      </c>
      <c r="E41" s="187">
        <f t="shared" ref="E41:J41" si="18">SUM(E42:E43)</f>
        <v>860490.89142857143</v>
      </c>
      <c r="F41" s="187">
        <f t="shared" si="18"/>
        <v>830490.89142857143</v>
      </c>
      <c r="G41" s="187">
        <f t="shared" si="18"/>
        <v>830490.89142857143</v>
      </c>
      <c r="H41" s="187">
        <f t="shared" si="18"/>
        <v>830490.89142857143</v>
      </c>
      <c r="I41" s="187">
        <f t="shared" si="18"/>
        <v>830490.89142857143</v>
      </c>
      <c r="J41" s="187">
        <f t="shared" si="18"/>
        <v>830490.89142857143</v>
      </c>
      <c r="K41" s="116"/>
      <c r="L41" s="116"/>
      <c r="M41" s="116"/>
      <c r="N41" s="116"/>
      <c r="O41" s="116"/>
      <c r="P41" s="116"/>
      <c r="Q41" s="116"/>
    </row>
    <row r="42" spans="1:17" s="117" customFormat="1" ht="12.95">
      <c r="A42" s="443" t="s">
        <v>653</v>
      </c>
      <c r="B42" s="444"/>
      <c r="C42" s="193">
        <f t="shared" si="15"/>
        <v>1760078.6666666663</v>
      </c>
      <c r="D42" s="190">
        <f>SUM('1.Detailed budget'!H65:H73)</f>
        <v>700619.23809523799</v>
      </c>
      <c r="E42" s="190">
        <f>SUM('1.Detailed budget'!I65:I73)</f>
        <v>201576.57142857142</v>
      </c>
      <c r="F42" s="190">
        <f>SUM('1.Detailed budget'!J65:J73)</f>
        <v>171576.57142857142</v>
      </c>
      <c r="G42" s="190">
        <f>SUM('1.Detailed budget'!K65:K73)</f>
        <v>171576.57142857142</v>
      </c>
      <c r="H42" s="190">
        <f>SUM('1.Detailed budget'!L65:L73)</f>
        <v>171576.57142857142</v>
      </c>
      <c r="I42" s="190">
        <f>SUM('1.Detailed budget'!M65:M73)</f>
        <v>171576.57142857142</v>
      </c>
      <c r="J42" s="190">
        <f>SUM('1.Detailed budget'!N65:N73)</f>
        <v>171576.57142857142</v>
      </c>
      <c r="K42" s="116"/>
      <c r="L42" s="116"/>
      <c r="M42" s="116"/>
      <c r="N42" s="116"/>
      <c r="O42" s="116"/>
      <c r="P42" s="116"/>
      <c r="Q42" s="116"/>
    </row>
    <row r="43" spans="1:17" s="117" customFormat="1" ht="12.95">
      <c r="A43" s="443" t="s">
        <v>50</v>
      </c>
      <c r="B43" s="444"/>
      <c r="C43" s="193">
        <f t="shared" si="15"/>
        <v>4612400.2400000012</v>
      </c>
      <c r="D43" s="190">
        <f>SUM('1.Detailed budget'!H74:H75)</f>
        <v>658914.32000000007</v>
      </c>
      <c r="E43" s="190">
        <f>SUM('1.Detailed budget'!I74:I75)</f>
        <v>658914.32000000007</v>
      </c>
      <c r="F43" s="190">
        <f>SUM('1.Detailed budget'!J74:J75)</f>
        <v>658914.32000000007</v>
      </c>
      <c r="G43" s="190">
        <f>SUM('1.Detailed budget'!K74:K75)</f>
        <v>658914.32000000007</v>
      </c>
      <c r="H43" s="190">
        <f>SUM('1.Detailed budget'!L74:L75)</f>
        <v>658914.32000000007</v>
      </c>
      <c r="I43" s="190">
        <f>SUM('1.Detailed budget'!M74:M75)</f>
        <v>658914.32000000007</v>
      </c>
      <c r="J43" s="190">
        <f>SUM('1.Detailed budget'!N74:N75)</f>
        <v>658914.32000000007</v>
      </c>
      <c r="K43" s="116"/>
      <c r="L43" s="116"/>
      <c r="M43" s="116"/>
      <c r="N43" s="116"/>
      <c r="O43" s="116"/>
      <c r="P43" s="116"/>
      <c r="Q43" s="116"/>
    </row>
    <row r="44" spans="1:17" s="117" customFormat="1" ht="12.95">
      <c r="A44" s="452" t="s">
        <v>635</v>
      </c>
      <c r="B44" s="452"/>
      <c r="C44" s="187">
        <f t="shared" ref="C44" si="19">SUM(D44:J44)</f>
        <v>811999.99920000019</v>
      </c>
      <c r="D44" s="187">
        <f>SUM(D45:D46)</f>
        <v>92071.428457142814</v>
      </c>
      <c r="E44" s="187">
        <f t="shared" ref="E44:J44" si="20">SUM(E45:E46)</f>
        <v>123071.42845714287</v>
      </c>
      <c r="F44" s="187">
        <f t="shared" si="20"/>
        <v>132571.42845714287</v>
      </c>
      <c r="G44" s="187">
        <f t="shared" si="20"/>
        <v>147571.42845714293</v>
      </c>
      <c r="H44" s="187">
        <f t="shared" si="20"/>
        <v>103071.42845714287</v>
      </c>
      <c r="I44" s="187">
        <f t="shared" si="20"/>
        <v>93071.428457142873</v>
      </c>
      <c r="J44" s="187">
        <f t="shared" si="20"/>
        <v>120571.4284571429</v>
      </c>
      <c r="K44" s="116"/>
      <c r="L44" s="116"/>
      <c r="M44" s="116"/>
      <c r="N44" s="116"/>
      <c r="O44" s="116"/>
      <c r="P44" s="116"/>
      <c r="Q44" s="116"/>
    </row>
    <row r="45" spans="1:17" s="117" customFormat="1" ht="12.95">
      <c r="A45" s="443" t="s">
        <v>653</v>
      </c>
      <c r="B45" s="444"/>
      <c r="C45" s="193">
        <f t="shared" si="15"/>
        <v>561999.9996000001</v>
      </c>
      <c r="D45" s="193">
        <f>SUM('1.Detailed budget'!H77:H80)</f>
        <v>56035.714228571407</v>
      </c>
      <c r="E45" s="193">
        <f>SUM('1.Detailed budget'!I77:I80)</f>
        <v>78535.714228571436</v>
      </c>
      <c r="F45" s="193">
        <f>SUM('1.Detailed budget'!J77:J80)</f>
        <v>88285.714228571436</v>
      </c>
      <c r="G45" s="193">
        <f>SUM('1.Detailed budget'!K77:K80)</f>
        <v>105785.71422857147</v>
      </c>
      <c r="H45" s="193">
        <f>SUM('1.Detailed budget'!L77:L80)</f>
        <v>69035.714228571436</v>
      </c>
      <c r="I45" s="193">
        <f>SUM('1.Detailed budget'!M77:M80)</f>
        <v>69035.714228571436</v>
      </c>
      <c r="J45" s="193">
        <f>SUM('1.Detailed budget'!N77:N80)</f>
        <v>95285.714228571451</v>
      </c>
      <c r="K45" s="116"/>
      <c r="L45" s="116"/>
      <c r="M45" s="116"/>
      <c r="N45" s="116"/>
      <c r="O45" s="116"/>
      <c r="P45" s="116"/>
      <c r="Q45" s="116"/>
    </row>
    <row r="46" spans="1:17" s="117" customFormat="1" ht="12.95">
      <c r="A46" s="443" t="s">
        <v>50</v>
      </c>
      <c r="B46" s="444"/>
      <c r="C46" s="193">
        <f t="shared" si="15"/>
        <v>249999.9996000001</v>
      </c>
      <c r="D46" s="190">
        <f>'1.Detailed budget'!H81</f>
        <v>36035.714228571407</v>
      </c>
      <c r="E46" s="190">
        <f>'1.Detailed budget'!I81</f>
        <v>44535.714228571436</v>
      </c>
      <c r="F46" s="190">
        <f>'1.Detailed budget'!J81</f>
        <v>44285.714228571436</v>
      </c>
      <c r="G46" s="190">
        <f>'1.Detailed budget'!K81</f>
        <v>41785.714228571465</v>
      </c>
      <c r="H46" s="190">
        <f>'1.Detailed budget'!L81</f>
        <v>34035.714228571436</v>
      </c>
      <c r="I46" s="190">
        <f>'1.Detailed budget'!M81</f>
        <v>24035.714228571436</v>
      </c>
      <c r="J46" s="190">
        <f>'1.Detailed budget'!N81</f>
        <v>25285.714228571451</v>
      </c>
      <c r="K46" s="116"/>
      <c r="L46" s="116"/>
      <c r="M46" s="116"/>
      <c r="N46" s="116"/>
      <c r="O46" s="116"/>
      <c r="P46" s="116"/>
      <c r="Q46" s="116"/>
    </row>
    <row r="47" spans="1:17" s="117" customFormat="1" ht="15" customHeight="1">
      <c r="A47" s="453" t="s">
        <v>654</v>
      </c>
      <c r="B47" s="454"/>
      <c r="C47" s="454"/>
      <c r="D47" s="454"/>
      <c r="E47" s="454"/>
      <c r="F47" s="454"/>
      <c r="G47" s="454"/>
      <c r="H47" s="454"/>
      <c r="I47" s="454"/>
      <c r="J47" s="454"/>
      <c r="K47" s="116"/>
      <c r="L47" s="116"/>
      <c r="M47" s="116"/>
      <c r="N47" s="116"/>
      <c r="O47" s="116"/>
      <c r="P47" s="116"/>
      <c r="Q47" s="116"/>
    </row>
    <row r="48" spans="1:17" s="117" customFormat="1" ht="12.95">
      <c r="A48" s="195"/>
      <c r="B48" s="196"/>
      <c r="C48" s="197" t="s">
        <v>562</v>
      </c>
      <c r="D48" s="198" t="s">
        <v>643</v>
      </c>
      <c r="E48" s="198" t="s">
        <v>644</v>
      </c>
      <c r="F48" s="198" t="s">
        <v>645</v>
      </c>
      <c r="G48" s="198" t="s">
        <v>646</v>
      </c>
      <c r="H48" s="198" t="s">
        <v>647</v>
      </c>
      <c r="I48" s="198" t="s">
        <v>648</v>
      </c>
      <c r="J48" s="198" t="s">
        <v>649</v>
      </c>
      <c r="K48" s="116"/>
      <c r="L48" s="116"/>
      <c r="M48" s="116"/>
      <c r="N48" s="116"/>
      <c r="O48" s="116"/>
      <c r="P48" s="116"/>
      <c r="Q48" s="116"/>
    </row>
    <row r="49" spans="1:17" s="117" customFormat="1" ht="12.95">
      <c r="A49" s="199"/>
      <c r="B49" s="196" t="s">
        <v>655</v>
      </c>
      <c r="C49" s="200">
        <f>SUM(D49:J49)</f>
        <v>119914183.84239136</v>
      </c>
      <c r="D49" s="200">
        <f t="shared" ref="D49:J49" si="21">SUM(D50:D51)</f>
        <v>19750911.19366793</v>
      </c>
      <c r="E49" s="200">
        <f t="shared" si="21"/>
        <v>19029194.506019365</v>
      </c>
      <c r="F49" s="200">
        <f t="shared" si="21"/>
        <v>20362884.489677541</v>
      </c>
      <c r="G49" s="200">
        <f t="shared" si="21"/>
        <v>19385024.548644207</v>
      </c>
      <c r="H49" s="200">
        <f t="shared" si="21"/>
        <v>15332433.850221775</v>
      </c>
      <c r="I49" s="200">
        <f t="shared" si="21"/>
        <v>13089719.727819007</v>
      </c>
      <c r="J49" s="200">
        <f t="shared" si="21"/>
        <v>12964015.526341528</v>
      </c>
      <c r="K49" s="115"/>
      <c r="L49" s="116"/>
      <c r="M49" s="116"/>
      <c r="N49" s="116"/>
      <c r="O49" s="116"/>
      <c r="P49" s="116"/>
      <c r="Q49" s="116"/>
    </row>
    <row r="50" spans="1:17" s="117" customFormat="1" ht="12.95">
      <c r="A50" s="195"/>
      <c r="B50" s="201" t="s">
        <v>21</v>
      </c>
      <c r="C50" s="200">
        <f>SUM(D50:J50)</f>
        <v>38206790.795266666</v>
      </c>
      <c r="D50" s="202">
        <f t="shared" ref="D50:J50" si="22">D5+D20+D27+D42+D45</f>
        <v>8197287.4804215459</v>
      </c>
      <c r="E50" s="202">
        <f t="shared" si="22"/>
        <v>7451122.0837063147</v>
      </c>
      <c r="F50" s="202">
        <f t="shared" si="22"/>
        <v>8392948.4673644919</v>
      </c>
      <c r="G50" s="202">
        <f t="shared" si="22"/>
        <v>7270398.5263311574</v>
      </c>
      <c r="H50" s="202">
        <f t="shared" si="22"/>
        <v>3666061.827908725</v>
      </c>
      <c r="I50" s="202">
        <f t="shared" si="22"/>
        <v>1677963.3055059547</v>
      </c>
      <c r="J50" s="202">
        <f t="shared" si="22"/>
        <v>1551009.1040284773</v>
      </c>
      <c r="K50" s="115"/>
      <c r="L50" s="116"/>
      <c r="M50" s="116"/>
      <c r="N50" s="116"/>
      <c r="O50" s="116"/>
      <c r="P50" s="116"/>
      <c r="Q50" s="116"/>
    </row>
    <row r="51" spans="1:17" s="117" customFormat="1" ht="12.95">
      <c r="A51" s="195"/>
      <c r="B51" s="201" t="s">
        <v>50</v>
      </c>
      <c r="C51" s="200">
        <f>SUM(D51:J51)</f>
        <v>81707393.047124684</v>
      </c>
      <c r="D51" s="202">
        <f t="shared" ref="D51:J51" si="23">D14+D39+D43+D46</f>
        <v>11553623.713246385</v>
      </c>
      <c r="E51" s="202">
        <f t="shared" si="23"/>
        <v>11578072.422313049</v>
      </c>
      <c r="F51" s="202">
        <f t="shared" si="23"/>
        <v>11969936.022313051</v>
      </c>
      <c r="G51" s="202">
        <f t="shared" si="23"/>
        <v>12114626.022313051</v>
      </c>
      <c r="H51" s="202">
        <f t="shared" si="23"/>
        <v>11666372.022313051</v>
      </c>
      <c r="I51" s="202">
        <f t="shared" si="23"/>
        <v>11411756.422313051</v>
      </c>
      <c r="J51" s="202">
        <f t="shared" si="23"/>
        <v>11413006.422313051</v>
      </c>
      <c r="K51" s="116"/>
      <c r="L51" s="116"/>
      <c r="M51" s="116"/>
      <c r="N51" s="116"/>
      <c r="O51" s="116"/>
      <c r="P51" s="116"/>
      <c r="Q51" s="116"/>
    </row>
    <row r="52" spans="1:17" s="111" customFormat="1" ht="15" customHeight="1">
      <c r="A52" s="203"/>
      <c r="B52" s="204"/>
      <c r="C52" s="205"/>
      <c r="D52" s="205"/>
      <c r="E52" s="205"/>
      <c r="F52" s="205"/>
      <c r="G52" s="205"/>
      <c r="H52" s="205"/>
      <c r="I52" s="205"/>
      <c r="J52" s="205"/>
    </row>
    <row r="53" spans="1:17" s="111" customFormat="1" ht="12.95">
      <c r="A53" s="206"/>
      <c r="B53" s="207"/>
      <c r="C53" s="208"/>
      <c r="D53" s="209"/>
      <c r="E53" s="210"/>
      <c r="F53" s="210"/>
      <c r="G53" s="210"/>
      <c r="H53" s="210"/>
      <c r="I53" s="210"/>
      <c r="J53" s="210"/>
    </row>
    <row r="54" spans="1:17" s="111" customFormat="1" ht="12" customHeight="1" thickBot="1">
      <c r="A54" s="206"/>
      <c r="B54" s="207"/>
      <c r="C54" s="211"/>
      <c r="D54" s="207"/>
      <c r="E54" s="207"/>
      <c r="F54" s="207"/>
      <c r="G54" s="207"/>
      <c r="H54" s="208"/>
      <c r="I54" s="208"/>
      <c r="J54" s="208"/>
    </row>
    <row r="55" spans="1:17" s="111" customFormat="1" ht="13.5" thickBot="1">
      <c r="A55" s="212"/>
      <c r="B55" s="213" t="s">
        <v>656</v>
      </c>
      <c r="C55" s="214" t="s">
        <v>655</v>
      </c>
      <c r="D55" s="215" t="s">
        <v>657</v>
      </c>
      <c r="E55" s="216" t="s">
        <v>658</v>
      </c>
      <c r="F55" s="216" t="s">
        <v>659</v>
      </c>
      <c r="G55" s="216" t="s">
        <v>660</v>
      </c>
      <c r="H55" s="217" t="s">
        <v>661</v>
      </c>
      <c r="I55" s="217" t="s">
        <v>662</v>
      </c>
      <c r="J55" s="218" t="s">
        <v>663</v>
      </c>
    </row>
    <row r="56" spans="1:17" s="111" customFormat="1" ht="12.95">
      <c r="A56" s="219">
        <v>1</v>
      </c>
      <c r="B56" s="220" t="s">
        <v>664</v>
      </c>
      <c r="C56" s="221">
        <f>H56</f>
        <v>35733.970000000008</v>
      </c>
      <c r="D56" s="222">
        <v>3573.3969999999999</v>
      </c>
      <c r="E56" s="222">
        <v>10720.191000000001</v>
      </c>
      <c r="F56" s="222">
        <v>21440.382000000001</v>
      </c>
      <c r="G56" s="222">
        <v>32160.573000000004</v>
      </c>
      <c r="H56" s="222">
        <v>35733.970000000008</v>
      </c>
      <c r="I56" s="223">
        <f>H56</f>
        <v>35733.970000000008</v>
      </c>
      <c r="J56" s="224">
        <f>I56</f>
        <v>35733.970000000008</v>
      </c>
    </row>
    <row r="57" spans="1:17" s="111" customFormat="1" ht="12.95">
      <c r="A57" s="225">
        <v>2</v>
      </c>
      <c r="B57" s="226" t="s">
        <v>665</v>
      </c>
      <c r="C57" s="227">
        <v>51098</v>
      </c>
      <c r="D57" s="228">
        <v>5109.8</v>
      </c>
      <c r="E57" s="228">
        <v>15329.400000000001</v>
      </c>
      <c r="F57" s="228">
        <v>30658.800000000003</v>
      </c>
      <c r="G57" s="228">
        <v>45988.200000000004</v>
      </c>
      <c r="H57" s="228">
        <v>51098.000000000007</v>
      </c>
      <c r="I57" s="229">
        <f>H57</f>
        <v>51098.000000000007</v>
      </c>
      <c r="J57" s="230">
        <f>I57</f>
        <v>51098.000000000007</v>
      </c>
    </row>
    <row r="58" spans="1:17" s="111" customFormat="1" ht="13.5" thickBot="1">
      <c r="A58" s="231">
        <v>3</v>
      </c>
      <c r="B58" s="232" t="s">
        <v>666</v>
      </c>
      <c r="C58" s="233">
        <f>H58</f>
        <v>15544.160000000003</v>
      </c>
      <c r="D58" s="234">
        <v>1554.4160000000002</v>
      </c>
      <c r="E58" s="234">
        <v>4663.2480000000005</v>
      </c>
      <c r="F58" s="234">
        <v>9326.496000000001</v>
      </c>
      <c r="G58" s="234">
        <v>13989.744000000002</v>
      </c>
      <c r="H58" s="234">
        <v>15544.160000000003</v>
      </c>
      <c r="I58" s="235">
        <f>+H58</f>
        <v>15544.160000000003</v>
      </c>
      <c r="J58" s="236">
        <f>+I58</f>
        <v>15544.160000000003</v>
      </c>
    </row>
    <row r="59" spans="1:17" s="111" customFormat="1" ht="12.95">
      <c r="A59" s="207"/>
      <c r="B59" s="207"/>
      <c r="C59" s="208"/>
      <c r="D59" s="207"/>
      <c r="E59" s="207"/>
      <c r="F59" s="207"/>
      <c r="G59" s="207"/>
      <c r="H59" s="207"/>
      <c r="I59" s="207"/>
      <c r="J59" s="207"/>
    </row>
    <row r="60" spans="1:17" s="111" customFormat="1" ht="12.95">
      <c r="A60" s="207"/>
      <c r="B60" s="207"/>
      <c r="C60" s="208"/>
      <c r="D60" s="207"/>
      <c r="E60" s="207"/>
      <c r="F60" s="207"/>
      <c r="G60" s="207"/>
      <c r="H60" s="207"/>
      <c r="I60" s="207"/>
      <c r="J60" s="207"/>
    </row>
    <row r="61" spans="1:17" s="111" customFormat="1" ht="12.95" hidden="1">
      <c r="A61" s="207"/>
      <c r="B61" s="207"/>
      <c r="C61" s="207"/>
      <c r="D61" s="207"/>
      <c r="E61" s="207"/>
      <c r="F61" s="207"/>
      <c r="G61" s="207"/>
      <c r="H61" s="207"/>
      <c r="I61" s="207"/>
      <c r="J61" s="207"/>
    </row>
    <row r="62" spans="1:17" s="111" customFormat="1" ht="12.95" hidden="1">
      <c r="A62" s="207"/>
      <c r="B62" s="207"/>
      <c r="C62" s="207"/>
      <c r="D62" s="207"/>
      <c r="E62" s="207"/>
      <c r="F62" s="207"/>
      <c r="G62" s="207"/>
      <c r="H62" s="207"/>
      <c r="I62" s="207"/>
      <c r="J62" s="207"/>
    </row>
    <row r="63" spans="1:17" s="111" customFormat="1" ht="12.95" hidden="1">
      <c r="A63" s="207"/>
      <c r="B63" s="207"/>
      <c r="C63" s="207"/>
      <c r="D63" s="207"/>
      <c r="E63" s="207"/>
      <c r="F63" s="207"/>
      <c r="G63" s="207"/>
      <c r="H63" s="207"/>
      <c r="I63" s="207"/>
      <c r="J63" s="207"/>
    </row>
    <row r="64" spans="1:17" s="111" customFormat="1" ht="12.95">
      <c r="A64" s="207"/>
      <c r="B64" s="207"/>
      <c r="C64" s="207"/>
      <c r="D64" s="207"/>
      <c r="E64" s="207"/>
      <c r="F64" s="207"/>
      <c r="G64" s="207"/>
      <c r="H64" s="207"/>
      <c r="I64" s="207"/>
      <c r="J64" s="207"/>
    </row>
    <row r="65" spans="1:10" s="111" customFormat="1" ht="12.95">
      <c r="A65" s="207"/>
      <c r="B65" s="207"/>
      <c r="C65" s="207"/>
      <c r="D65" s="207"/>
      <c r="E65" s="207"/>
      <c r="F65" s="207"/>
      <c r="G65" s="207"/>
      <c r="H65" s="207"/>
      <c r="I65" s="207"/>
      <c r="J65" s="207"/>
    </row>
    <row r="66" spans="1:10" s="111" customFormat="1" ht="12.95">
      <c r="A66" s="207"/>
      <c r="B66" s="237"/>
      <c r="C66" s="237"/>
      <c r="D66" s="207"/>
      <c r="E66" s="207"/>
      <c r="F66" s="207"/>
      <c r="G66" s="207"/>
      <c r="H66" s="207"/>
      <c r="I66" s="207"/>
      <c r="J66" s="207"/>
    </row>
    <row r="67" spans="1:10" s="111" customFormat="1" ht="12.95">
      <c r="A67" s="207"/>
      <c r="B67" s="238"/>
      <c r="C67" s="238"/>
      <c r="D67" s="207"/>
      <c r="E67" s="207"/>
      <c r="F67" s="207"/>
      <c r="G67" s="207"/>
      <c r="H67" s="207"/>
      <c r="I67" s="207"/>
      <c r="J67" s="207"/>
    </row>
    <row r="68" spans="1:10" s="111" customFormat="1" ht="12.95">
      <c r="A68" s="207"/>
      <c r="B68" s="239"/>
      <c r="C68" s="239"/>
      <c r="D68" s="207"/>
      <c r="E68" s="207"/>
      <c r="F68" s="207"/>
      <c r="G68" s="207"/>
      <c r="H68" s="207"/>
      <c r="I68" s="207"/>
      <c r="J68" s="207"/>
    </row>
    <row r="69" spans="1:10" s="111" customFormat="1" ht="12.95">
      <c r="A69" s="207"/>
      <c r="B69" s="239"/>
      <c r="C69" s="239"/>
      <c r="D69" s="207"/>
      <c r="E69" s="207"/>
      <c r="F69" s="207"/>
      <c r="G69" s="207"/>
      <c r="H69" s="207"/>
      <c r="I69" s="207"/>
      <c r="J69" s="207"/>
    </row>
  </sheetData>
  <mergeCells count="26">
    <mergeCell ref="A39:B39"/>
    <mergeCell ref="A41:B41"/>
    <mergeCell ref="A42:B42"/>
    <mergeCell ref="A43:B43"/>
    <mergeCell ref="A47:J47"/>
    <mergeCell ref="A44:B44"/>
    <mergeCell ref="A45:B45"/>
    <mergeCell ref="A46:B46"/>
    <mergeCell ref="J29:J30"/>
    <mergeCell ref="A19:B19"/>
    <mergeCell ref="A20:B20"/>
    <mergeCell ref="A26:B26"/>
    <mergeCell ref="A27:B27"/>
    <mergeCell ref="C29:C30"/>
    <mergeCell ref="D29:D30"/>
    <mergeCell ref="E29:E30"/>
    <mergeCell ref="F29:F30"/>
    <mergeCell ref="G29:G30"/>
    <mergeCell ref="H29:H30"/>
    <mergeCell ref="I29:I30"/>
    <mergeCell ref="A14:B14"/>
    <mergeCell ref="A1:J1"/>
    <mergeCell ref="A2:B2"/>
    <mergeCell ref="A3:B3"/>
    <mergeCell ref="A4:B4"/>
    <mergeCell ref="A5:B5"/>
  </mergeCells>
  <pageMargins left="0.7" right="0.7" top="0.75" bottom="0.75" header="0.3" footer="0.3"/>
  <pageSetup paperSize="9" scale="59" orientation="portrait" r:id="rId1"/>
  <colBreaks count="1" manualBreakCount="1">
    <brk id="1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7">
    <pageSetUpPr fitToPage="1"/>
  </sheetPr>
  <dimension ref="A1:O50"/>
  <sheetViews>
    <sheetView showGridLines="0" view="pageBreakPreview" zoomScale="90" zoomScaleNormal="100" zoomScaleSheetLayoutView="90" workbookViewId="0">
      <selection activeCell="J17" sqref="J17"/>
    </sheetView>
  </sheetViews>
  <sheetFormatPr defaultColWidth="11.42578125" defaultRowHeight="14.45"/>
  <cols>
    <col min="1" max="1" width="47.140625" style="37" customWidth="1"/>
    <col min="2" max="2" width="16.42578125" style="37" customWidth="1"/>
    <col min="3" max="3" width="16.140625" style="37" bestFit="1" customWidth="1"/>
    <col min="4" max="4" width="15.42578125" style="37" bestFit="1" customWidth="1"/>
    <col min="5" max="5" width="13.42578125" style="37" bestFit="1" customWidth="1"/>
    <col min="6" max="7" width="12.42578125" style="37" bestFit="1" customWidth="1"/>
    <col min="8" max="16384" width="11.42578125" style="37"/>
  </cols>
  <sheetData>
    <row r="1" spans="1:15" ht="15" thickBot="1">
      <c r="A1" s="118" t="s">
        <v>667</v>
      </c>
      <c r="B1" s="119"/>
      <c r="C1" s="120"/>
      <c r="D1" s="121"/>
    </row>
    <row r="2" spans="1:15" s="70" customFormat="1" ht="12.95">
      <c r="A2" s="122"/>
      <c r="B2" s="123" t="s">
        <v>562</v>
      </c>
      <c r="C2" s="123" t="s">
        <v>21</v>
      </c>
      <c r="D2" s="123" t="s">
        <v>668</v>
      </c>
      <c r="F2" s="69"/>
      <c r="G2" s="69"/>
      <c r="H2" s="69"/>
      <c r="I2" s="69"/>
      <c r="J2" s="69"/>
      <c r="K2" s="69"/>
      <c r="L2" s="69"/>
      <c r="M2" s="69"/>
      <c r="N2" s="69"/>
      <c r="O2" s="69"/>
    </row>
    <row r="3" spans="1:15" s="70" customFormat="1" ht="12.95">
      <c r="A3" s="124" t="s">
        <v>669</v>
      </c>
      <c r="B3" s="125">
        <f>B8</f>
        <v>119914183.84239133</v>
      </c>
      <c r="C3" s="125">
        <f>C8</f>
        <v>38206790.795266658</v>
      </c>
      <c r="D3" s="125">
        <f>D8</f>
        <v>81707393.047124669</v>
      </c>
      <c r="E3" s="126"/>
      <c r="F3" s="69"/>
      <c r="G3" s="69"/>
      <c r="H3" s="69"/>
      <c r="I3" s="69"/>
      <c r="J3" s="69"/>
      <c r="K3" s="69"/>
      <c r="L3" s="69"/>
      <c r="M3" s="69"/>
      <c r="N3" s="69"/>
      <c r="O3" s="69"/>
    </row>
    <row r="4" spans="1:15" s="70" customFormat="1" ht="13.5" thickBot="1">
      <c r="A4" s="127" t="s">
        <v>670</v>
      </c>
      <c r="B4" s="128">
        <v>1</v>
      </c>
      <c r="C4" s="129">
        <f t="shared" ref="C4:D4" si="0">C3/$B$3</f>
        <v>0.31861777790593632</v>
      </c>
      <c r="D4" s="129">
        <f t="shared" si="0"/>
        <v>0.68138222209406363</v>
      </c>
      <c r="F4" s="69"/>
      <c r="G4" s="69"/>
      <c r="H4" s="69"/>
      <c r="I4" s="69"/>
      <c r="J4" s="69"/>
      <c r="K4" s="69"/>
      <c r="L4" s="69"/>
      <c r="M4" s="69"/>
      <c r="N4" s="69"/>
      <c r="O4" s="69"/>
    </row>
    <row r="5" spans="1:15" s="70" customFormat="1">
      <c r="A5" s="130"/>
      <c r="B5" s="131"/>
      <c r="C5" s="132"/>
      <c r="E5" s="69"/>
      <c r="F5" s="69"/>
      <c r="G5" s="69"/>
      <c r="H5" s="69"/>
      <c r="I5" s="69"/>
      <c r="J5" s="69"/>
      <c r="K5" s="69"/>
      <c r="L5" s="69"/>
      <c r="M5" s="69"/>
      <c r="N5" s="69"/>
      <c r="O5" s="69"/>
    </row>
    <row r="6" spans="1:15" s="76" customFormat="1" ht="12.95">
      <c r="A6" s="455" t="s">
        <v>671</v>
      </c>
      <c r="B6" s="105" t="s">
        <v>642</v>
      </c>
      <c r="C6" s="105" t="s">
        <v>21</v>
      </c>
      <c r="D6" s="105" t="s">
        <v>668</v>
      </c>
      <c r="E6" s="75"/>
      <c r="F6" s="75"/>
      <c r="G6" s="75"/>
      <c r="H6" s="75"/>
      <c r="I6" s="75"/>
      <c r="J6" s="75"/>
      <c r="K6" s="75"/>
      <c r="L6" s="75"/>
      <c r="M6" s="75"/>
      <c r="N6" s="75"/>
      <c r="O6" s="75"/>
    </row>
    <row r="7" spans="1:15" s="76" customFormat="1" ht="12.95">
      <c r="A7" s="456"/>
      <c r="B7" s="105" t="s">
        <v>672</v>
      </c>
      <c r="C7" s="133" t="s">
        <v>26</v>
      </c>
      <c r="D7" s="133" t="s">
        <v>673</v>
      </c>
      <c r="E7" s="75"/>
      <c r="F7" s="75"/>
      <c r="G7" s="75"/>
      <c r="H7" s="75"/>
      <c r="I7" s="75"/>
      <c r="J7" s="75"/>
      <c r="K7" s="75"/>
      <c r="L7" s="75"/>
      <c r="M7" s="75"/>
      <c r="N7" s="75"/>
      <c r="O7" s="75"/>
    </row>
    <row r="8" spans="1:15" s="80" customFormat="1" ht="14.1">
      <c r="A8" s="134"/>
      <c r="B8" s="135">
        <f>C8+D8</f>
        <v>119914183.84239133</v>
      </c>
      <c r="C8" s="114">
        <f>C9+C24+C32+C48+C49</f>
        <v>38206790.795266658</v>
      </c>
      <c r="D8" s="114">
        <f>D9+D24+D32+D48+D49</f>
        <v>81707393.047124669</v>
      </c>
      <c r="E8" s="136"/>
      <c r="F8" s="137"/>
      <c r="G8" s="79"/>
      <c r="H8" s="79"/>
      <c r="I8" s="79"/>
      <c r="J8" s="79"/>
      <c r="K8" s="79"/>
      <c r="L8" s="79"/>
      <c r="M8" s="79"/>
      <c r="N8" s="79"/>
      <c r="O8" s="79"/>
    </row>
    <row r="9" spans="1:15" s="84" customFormat="1" ht="65.099999999999994" collapsed="1">
      <c r="A9" s="138" t="s">
        <v>631</v>
      </c>
      <c r="B9" s="139">
        <f>+C9+D9</f>
        <v>110958142.93572468</v>
      </c>
      <c r="C9" s="139">
        <f>C10+C17</f>
        <v>34664342.128999993</v>
      </c>
      <c r="D9" s="139">
        <f>D10+D17</f>
        <v>76293800.806724682</v>
      </c>
      <c r="E9" s="140"/>
      <c r="F9" s="141"/>
      <c r="G9" s="83"/>
      <c r="H9" s="83"/>
      <c r="I9" s="83"/>
      <c r="J9" s="83"/>
      <c r="K9" s="83"/>
      <c r="L9" s="83"/>
      <c r="M9" s="83"/>
      <c r="N9" s="83"/>
      <c r="O9" s="83"/>
    </row>
    <row r="10" spans="1:15" s="84" customFormat="1" ht="53.25" customHeight="1">
      <c r="A10" s="86" t="str">
        <f>CONCATENATE('[1]4. Budget'!A5,'[1]4. Budget'!B5)</f>
        <v>1.1 Restore approximately 15,544 ha of farmland from marabu, and increase CC-resilience through sustainable agroforestry (AF), CTNPFs and assisted natural regeneration (mitigation co-benefit 417,532 milli</v>
      </c>
      <c r="B10" s="142">
        <f t="shared" ref="B10:B47" si="1">+C10+D10</f>
        <v>59353984.198970594</v>
      </c>
      <c r="C10" s="143">
        <f>SUM(C11:C16)</f>
        <v>20513220.593948804</v>
      </c>
      <c r="D10" s="143">
        <f>SUM(D11:D16)</f>
        <v>38840763.60502179</v>
      </c>
      <c r="E10" s="83"/>
      <c r="F10" s="141"/>
      <c r="G10" s="141"/>
      <c r="H10" s="83"/>
      <c r="I10" s="83"/>
      <c r="J10" s="83"/>
      <c r="K10" s="83"/>
      <c r="L10" s="83"/>
      <c r="M10" s="83"/>
      <c r="N10" s="83"/>
      <c r="O10" s="83"/>
    </row>
    <row r="11" spans="1:15" s="84" customFormat="1" ht="12.95">
      <c r="A11" s="86" t="str">
        <f>CONCATENATE('[1]4. Budget'!A6,'[1]4. Budget'!B6)</f>
        <v>1.1.1:  Procure identified technologies and equipment</v>
      </c>
      <c r="B11" s="144">
        <f t="shared" si="1"/>
        <v>11590342.993948804</v>
      </c>
      <c r="C11" s="145">
        <f>'6. Fin Timeline by fin Source'!C6</f>
        <v>11590342.993948804</v>
      </c>
      <c r="D11" s="145"/>
      <c r="E11" s="83"/>
      <c r="F11" s="141"/>
      <c r="G11" s="141"/>
      <c r="H11" s="83"/>
      <c r="I11" s="83"/>
      <c r="J11" s="83"/>
      <c r="K11" s="83"/>
      <c r="L11" s="83"/>
      <c r="M11" s="83"/>
      <c r="N11" s="83"/>
      <c r="O11" s="83"/>
    </row>
    <row r="12" spans="1:15" s="84" customFormat="1" ht="12.95">
      <c r="A12" s="86" t="str">
        <f>CONCATENATE('[1]4. Budget'!A7,'[1]4. Budget'!B7)</f>
        <v>1.1.2:  Develop training materials for operations and maintenance</v>
      </c>
      <c r="B12" s="144">
        <f t="shared" si="1"/>
        <v>21500</v>
      </c>
      <c r="C12" s="145">
        <f>'6. Fin Timeline by fin Source'!C7</f>
        <v>21500</v>
      </c>
      <c r="D12" s="145"/>
      <c r="E12" s="83"/>
      <c r="F12" s="141"/>
      <c r="G12" s="141"/>
      <c r="H12" s="83"/>
      <c r="I12" s="83"/>
      <c r="J12" s="83"/>
      <c r="K12" s="83"/>
      <c r="L12" s="83"/>
      <c r="M12" s="83"/>
      <c r="N12" s="83"/>
      <c r="O12" s="83"/>
    </row>
    <row r="13" spans="1:15" s="84" customFormat="1" ht="12.95">
      <c r="A13" s="86" t="str">
        <f>CONCATENATE('[1]4. Budget'!A8,'[1]4. Budget'!B8)</f>
        <v>1.1.3:  Train 74 machinery operators</v>
      </c>
      <c r="B13" s="144">
        <f t="shared" si="1"/>
        <v>14000</v>
      </c>
      <c r="C13" s="145">
        <f>'6. Fin Timeline by fin Source'!C8</f>
        <v>14000</v>
      </c>
      <c r="D13" s="145"/>
      <c r="E13" s="83"/>
      <c r="F13" s="141"/>
      <c r="G13" s="141"/>
      <c r="H13" s="83"/>
      <c r="I13" s="83"/>
      <c r="J13" s="83"/>
      <c r="K13" s="83"/>
      <c r="L13" s="83"/>
      <c r="M13" s="83"/>
      <c r="N13" s="83"/>
      <c r="O13" s="83"/>
    </row>
    <row r="14" spans="1:15" s="84" customFormat="1" ht="12.95">
      <c r="A14" s="86" t="str">
        <f>CONCATENATE('[1]4. Budget'!A9,'[1]4. Budget'!B9)</f>
        <v xml:space="preserve">1.1.4:  Apply technologies to marabu eradication on 15,544 ha </v>
      </c>
      <c r="B14" s="144">
        <f t="shared" si="1"/>
        <v>18538741.987146016</v>
      </c>
      <c r="C14" s="145"/>
      <c r="D14" s="145">
        <f>'6. Fin Timeline by fin Source'!C15</f>
        <v>18538741.987146016</v>
      </c>
      <c r="E14" s="83"/>
      <c r="F14" s="141"/>
      <c r="G14" s="141"/>
      <c r="H14" s="83"/>
      <c r="I14" s="83"/>
      <c r="J14" s="83"/>
      <c r="K14" s="83"/>
      <c r="L14" s="83"/>
      <c r="M14" s="83"/>
      <c r="N14" s="83"/>
      <c r="O14" s="83"/>
    </row>
    <row r="15" spans="1:15" s="84" customFormat="1" ht="21">
      <c r="A15" s="86" t="str">
        <f>CONCATENATE('[1]4. Budget'!A10,'[1]4. Budget'!B10)</f>
        <v>1.1.5:  Construct 896 water security systems (storage facilities and irrigation)</v>
      </c>
      <c r="B15" s="144">
        <f t="shared" si="1"/>
        <v>8887377.5999999996</v>
      </c>
      <c r="C15" s="145">
        <f>'6. Fin Timeline by fin Source'!C9</f>
        <v>8887377.5999999996</v>
      </c>
      <c r="D15" s="145"/>
      <c r="E15" s="83"/>
      <c r="F15" s="83"/>
      <c r="G15" s="83"/>
      <c r="H15" s="83"/>
      <c r="I15" s="83"/>
      <c r="J15" s="83"/>
      <c r="K15" s="83"/>
      <c r="L15" s="83"/>
      <c r="M15" s="83"/>
      <c r="N15" s="83"/>
      <c r="O15" s="83"/>
    </row>
    <row r="16" spans="1:15" s="84" customFormat="1" ht="21">
      <c r="A16" s="86" t="str">
        <f>CONCATENATE('[1]4. Budget'!A11,'[1]4. Budget'!B11)</f>
        <v xml:space="preserve">1.1.6:  Establish and implement agroforestry, reforestation and assisted natural regeneration modules </v>
      </c>
      <c r="B16" s="144">
        <f t="shared" si="1"/>
        <v>20302021.617875773</v>
      </c>
      <c r="C16" s="145"/>
      <c r="D16" s="145">
        <f>'6. Fin Timeline by fin Source'!C16</f>
        <v>20302021.617875773</v>
      </c>
      <c r="E16" s="83"/>
      <c r="F16" s="83"/>
      <c r="G16" s="83"/>
      <c r="H16" s="83"/>
      <c r="I16" s="83"/>
      <c r="J16" s="83"/>
      <c r="K16" s="83"/>
      <c r="L16" s="83"/>
      <c r="M16" s="83"/>
      <c r="N16" s="83"/>
      <c r="O16" s="83"/>
    </row>
    <row r="17" spans="1:15" s="84" customFormat="1" ht="31.5">
      <c r="A17" s="86" t="str">
        <f>CONCATENATE('[1]4. Budget'!A12,'[1]4. Budget'!B12)</f>
        <v>1.2 Restore approximately 20,189 ha of rangeland with compacted soils and increase CC-resilience through improved sylvopastoral systems (mitigation net co-benefit 703,225.3 million t CO2eq in 7 years of i</v>
      </c>
      <c r="B17" s="142">
        <f t="shared" si="1"/>
        <v>51604158.73675409</v>
      </c>
      <c r="C17" s="143">
        <f>SUM(C18:C23)</f>
        <v>14151121.535051193</v>
      </c>
      <c r="D17" s="143">
        <f>SUM(D18:D23)</f>
        <v>37453037.201702893</v>
      </c>
      <c r="E17" s="83"/>
      <c r="F17" s="83"/>
      <c r="G17" s="83"/>
      <c r="H17" s="83"/>
      <c r="I17" s="83"/>
      <c r="J17" s="83"/>
      <c r="K17" s="83"/>
      <c r="L17" s="83"/>
      <c r="M17" s="83"/>
      <c r="N17" s="83"/>
      <c r="O17" s="83"/>
    </row>
    <row r="18" spans="1:15" s="84" customFormat="1" ht="12.95">
      <c r="A18" s="88" t="str">
        <f>CONCATENATE('[1]4. Budget'!A13,'[1]4. Budget'!B13)</f>
        <v>1.2.1:  Procure and field identified technologies and equipment</v>
      </c>
      <c r="B18" s="144">
        <f t="shared" si="1"/>
        <v>10388696.535051193</v>
      </c>
      <c r="C18" s="145">
        <f>'6. Fin Timeline by fin Source'!C10</f>
        <v>10388696.535051193</v>
      </c>
      <c r="D18" s="145">
        <v>0</v>
      </c>
      <c r="E18" s="83"/>
      <c r="F18" s="83"/>
      <c r="G18" s="83"/>
      <c r="H18" s="83"/>
      <c r="I18" s="83"/>
      <c r="J18" s="83"/>
      <c r="K18" s="83"/>
      <c r="L18" s="83"/>
      <c r="M18" s="83"/>
      <c r="N18" s="83"/>
      <c r="O18" s="83"/>
    </row>
    <row r="19" spans="1:15" s="84" customFormat="1" ht="12.95">
      <c r="A19" s="88" t="str">
        <f>CONCATENATE('[1]4. Budget'!A14,'[1]4. Budget'!B14)</f>
        <v xml:space="preserve">1.2.2:  Develop training materials </v>
      </c>
      <c r="B19" s="144">
        <f>+C19+D19</f>
        <v>21500</v>
      </c>
      <c r="C19" s="145">
        <f>'6. Fin Timeline by fin Source'!C11</f>
        <v>21500</v>
      </c>
      <c r="D19" s="145">
        <v>0</v>
      </c>
      <c r="E19" s="83"/>
      <c r="F19" s="83"/>
      <c r="G19" s="83"/>
      <c r="H19" s="83"/>
      <c r="I19" s="83"/>
      <c r="J19" s="83"/>
      <c r="K19" s="83"/>
      <c r="L19" s="83"/>
      <c r="M19" s="83"/>
      <c r="N19" s="83"/>
      <c r="O19" s="83"/>
    </row>
    <row r="20" spans="1:15" s="84" customFormat="1" ht="12.95">
      <c r="A20" s="88" t="str">
        <f>CONCATENATE('[1]4. Budget'!A15,'[1]4. Budget'!B15)</f>
        <v xml:space="preserve">1.2.3:  Train 68 machinery operators  </v>
      </c>
      <c r="B20" s="144">
        <f t="shared" ref="B20:B23" si="2">+C20+D20</f>
        <v>14000</v>
      </c>
      <c r="C20" s="145">
        <f>'6. Fin Timeline by fin Source'!C12</f>
        <v>14000</v>
      </c>
      <c r="D20" s="145">
        <v>0</v>
      </c>
      <c r="E20" s="83"/>
      <c r="F20" s="83"/>
      <c r="G20" s="83"/>
      <c r="H20" s="83"/>
      <c r="I20" s="83"/>
      <c r="J20" s="83"/>
      <c r="K20" s="83"/>
      <c r="L20" s="83"/>
      <c r="M20" s="83"/>
      <c r="N20" s="83"/>
      <c r="O20" s="83"/>
    </row>
    <row r="21" spans="1:15" s="84" customFormat="1" ht="12.95">
      <c r="A21" s="88" t="str">
        <f>CONCATENATE('[1]4. Budget'!A16,'[1]4. Budget'!B16)</f>
        <v>1.2.4:  Implement sub-soiling of 20,189 hectares of compacted rangeland</v>
      </c>
      <c r="B21" s="144">
        <f t="shared" si="2"/>
        <v>20638849.826032512</v>
      </c>
      <c r="C21" s="145">
        <v>0</v>
      </c>
      <c r="D21" s="145">
        <f>'6. Fin Timeline by fin Source'!C17</f>
        <v>20638849.826032512</v>
      </c>
      <c r="E21" s="83"/>
      <c r="F21" s="83"/>
      <c r="G21" s="83"/>
      <c r="H21" s="83"/>
      <c r="I21" s="83"/>
      <c r="J21" s="83"/>
      <c r="K21" s="83"/>
      <c r="L21" s="83"/>
      <c r="M21" s="83"/>
      <c r="N21" s="83"/>
      <c r="O21" s="83"/>
    </row>
    <row r="22" spans="1:15" s="84" customFormat="1" ht="21">
      <c r="A22" s="88" t="str">
        <f>CONCATENATE('[1]4. Budget'!A17,'[1]4. Budget'!B17)</f>
        <v>1.2.5:  Construct 11,362 small-scale water security systems (storage and livestock drinking facilities)</v>
      </c>
      <c r="B22" s="144">
        <f t="shared" si="2"/>
        <v>3726925</v>
      </c>
      <c r="C22" s="145">
        <f>'6. Fin Timeline by fin Source'!C13</f>
        <v>3726925</v>
      </c>
      <c r="D22" s="145">
        <v>0</v>
      </c>
      <c r="E22" s="83"/>
      <c r="F22" s="83"/>
      <c r="G22" s="83"/>
      <c r="H22" s="83"/>
      <c r="I22" s="83"/>
      <c r="J22" s="83"/>
      <c r="K22" s="83"/>
      <c r="L22" s="83"/>
      <c r="M22" s="83"/>
      <c r="N22" s="83"/>
      <c r="O22" s="83"/>
    </row>
    <row r="23" spans="1:15" s="84" customFormat="1" ht="21">
      <c r="A23" s="88" t="str">
        <f>CONCATENATE('[1]4. Budget'!A18,'[1]4. Budget'!B18)</f>
        <v xml:space="preserve">1.2.6:  Establish and implement sylvopastoral modules, including improved grazing systems </v>
      </c>
      <c r="B23" s="144">
        <f t="shared" si="2"/>
        <v>16814187.375670381</v>
      </c>
      <c r="C23" s="145"/>
      <c r="D23" s="145">
        <f>'6. Fin Timeline by fin Source'!C18</f>
        <v>16814187.375670381</v>
      </c>
      <c r="E23" s="83"/>
      <c r="F23" s="83"/>
      <c r="G23" s="83"/>
      <c r="H23" s="83"/>
      <c r="I23" s="83"/>
      <c r="J23" s="83"/>
      <c r="K23" s="83"/>
      <c r="L23" s="83"/>
      <c r="M23" s="83"/>
      <c r="N23" s="83"/>
      <c r="O23" s="83"/>
    </row>
    <row r="24" spans="1:15" s="84" customFormat="1" ht="51.95">
      <c r="A24" s="138" t="s">
        <v>632</v>
      </c>
      <c r="B24" s="139">
        <f t="shared" si="1"/>
        <v>826870</v>
      </c>
      <c r="C24" s="139">
        <f>C25+C29</f>
        <v>826870</v>
      </c>
      <c r="D24" s="139">
        <f>D25+D29</f>
        <v>0</v>
      </c>
      <c r="E24" s="140"/>
      <c r="F24" s="83"/>
      <c r="G24" s="83"/>
      <c r="H24" s="83"/>
      <c r="I24" s="83"/>
      <c r="J24" s="83"/>
      <c r="K24" s="83"/>
      <c r="L24" s="83"/>
      <c r="M24" s="83"/>
      <c r="N24" s="83"/>
      <c r="O24" s="83"/>
    </row>
    <row r="25" spans="1:15" s="70" customFormat="1" ht="31.5">
      <c r="A25" s="86" t="str">
        <f>CONCATENATE('[1]4. Budget'!A20,'[1]4. Budget'!B20)</f>
        <v>2.1 Increase institutional capacities to support farmers and producers’ organizations to establish and maintain agroforestry, sylvopastoral and forestry systems for improved ecosystem services</v>
      </c>
      <c r="B25" s="142">
        <f t="shared" si="1"/>
        <v>108000</v>
      </c>
      <c r="C25" s="143">
        <f>C26+C27+C28</f>
        <v>108000</v>
      </c>
      <c r="D25" s="143">
        <f>D26+D27+D28</f>
        <v>0</v>
      </c>
      <c r="E25" s="69"/>
      <c r="F25" s="69"/>
      <c r="G25" s="69"/>
      <c r="H25" s="69"/>
      <c r="I25" s="69"/>
      <c r="J25" s="69"/>
      <c r="K25" s="69"/>
      <c r="L25" s="69"/>
      <c r="M25" s="69"/>
      <c r="N25" s="69"/>
      <c r="O25" s="69"/>
    </row>
    <row r="26" spans="1:15" s="70" customFormat="1" ht="12.95">
      <c r="A26" s="88" t="str">
        <f>CONCATENATE('[1]4. Budget'!A21,'[1]4. Budget'!B21)</f>
        <v>2.1.1:  Develop training   materials for use by trainers of extensionists</v>
      </c>
      <c r="B26" s="144">
        <f t="shared" si="1"/>
        <v>18000</v>
      </c>
      <c r="C26" s="145">
        <f>'4. Budget'!C21</f>
        <v>18000</v>
      </c>
      <c r="D26" s="145">
        <v>0</v>
      </c>
      <c r="E26" s="69"/>
      <c r="F26" s="69"/>
      <c r="G26" s="69"/>
      <c r="H26" s="69"/>
      <c r="I26" s="69"/>
      <c r="J26" s="69"/>
      <c r="K26" s="69"/>
      <c r="L26" s="69"/>
      <c r="M26" s="69"/>
      <c r="N26" s="69"/>
      <c r="O26" s="69"/>
    </row>
    <row r="27" spans="1:15" s="70" customFormat="1" ht="31.5">
      <c r="A27" s="88" t="str">
        <f>CONCATENATE('[1]4. Budget'!A22,'[1]4. Budget'!B22)</f>
        <v>2.1.2:  Train 443 extension service technicians, agricultural technicians, and cooperative leaders   to lead  farmers in gender and age-sensitive learning-by-doing regarding the implementation, operations an</v>
      </c>
      <c r="B27" s="144">
        <f t="shared" si="1"/>
        <v>50000</v>
      </c>
      <c r="C27" s="145">
        <f>'4. Budget'!C22</f>
        <v>50000</v>
      </c>
      <c r="D27" s="145">
        <v>0</v>
      </c>
      <c r="E27" s="69"/>
      <c r="F27" s="69"/>
      <c r="G27" s="69"/>
      <c r="H27" s="69"/>
      <c r="I27" s="69"/>
      <c r="J27" s="69"/>
      <c r="K27" s="69"/>
      <c r="L27" s="69"/>
      <c r="M27" s="69"/>
      <c r="N27" s="69"/>
      <c r="O27" s="69"/>
    </row>
    <row r="28" spans="1:15" s="70" customFormat="1" ht="31.5">
      <c r="A28" s="88" t="str">
        <f>CONCATENATE('[1]4. Budget'!A23,'[1]4. Budget'!B23)</f>
        <v>2.1.3:  Development of supplementary learning materials and information on CC, ecosystem function and services, agroecology, agroforestry and forestry systems, and farm economics;</v>
      </c>
      <c r="B28" s="144">
        <f t="shared" si="1"/>
        <v>40000</v>
      </c>
      <c r="C28" s="145">
        <f>'4. Budget'!C23</f>
        <v>40000</v>
      </c>
      <c r="D28" s="145">
        <v>0</v>
      </c>
      <c r="E28" s="69"/>
      <c r="F28" s="69"/>
      <c r="G28" s="69"/>
      <c r="H28" s="69"/>
      <c r="I28" s="69"/>
      <c r="J28" s="69"/>
      <c r="K28" s="69"/>
      <c r="L28" s="69"/>
      <c r="M28" s="69"/>
      <c r="N28" s="69"/>
      <c r="O28" s="69"/>
    </row>
    <row r="29" spans="1:15" s="70" customFormat="1" ht="52.5">
      <c r="A29" s="86" t="str">
        <f>CONCATENATE('[1]4. Budget'!A24,'[1]4. Budget'!B24)</f>
        <v xml:space="preserve">2.2 Train agricultural producers to collectively revitalize and manage production landscapes for gender-equitable climate-resilient agriculture and ecosystem services
</v>
      </c>
      <c r="B29" s="142">
        <f t="shared" si="1"/>
        <v>718870</v>
      </c>
      <c r="C29" s="143">
        <f>C30+C31</f>
        <v>718870</v>
      </c>
      <c r="D29" s="143">
        <f>D30+D31</f>
        <v>0</v>
      </c>
      <c r="E29" s="69"/>
      <c r="F29" s="69"/>
      <c r="G29" s="69"/>
      <c r="H29" s="69"/>
      <c r="I29" s="69"/>
      <c r="J29" s="69"/>
      <c r="K29" s="69"/>
      <c r="L29" s="69"/>
      <c r="M29" s="69"/>
      <c r="N29" s="69"/>
      <c r="O29" s="69"/>
    </row>
    <row r="30" spans="1:15" s="70" customFormat="1" ht="31.5">
      <c r="A30" s="88" t="str">
        <f>CONCATENATE('[1]4. Budget'!A25,'[1]4. Budget'!B25)</f>
        <v>2.2.1:  Establish or strengthen existing Farmer Field Schools (17) in the seven municipalities based on type of agroforestry, sylvopastoral or forestry system to be implemented and logistical and other consi</v>
      </c>
      <c r="B30" s="144">
        <f t="shared" si="1"/>
        <v>274000</v>
      </c>
      <c r="C30" s="145">
        <f>'4. Budget'!C25</f>
        <v>274000</v>
      </c>
      <c r="D30" s="145">
        <v>0</v>
      </c>
      <c r="E30" s="69"/>
      <c r="F30" s="69"/>
      <c r="G30" s="69"/>
      <c r="H30" s="69"/>
      <c r="I30" s="69"/>
      <c r="J30" s="69"/>
      <c r="K30" s="69"/>
      <c r="L30" s="69"/>
      <c r="M30" s="69"/>
      <c r="N30" s="69"/>
      <c r="O30" s="69"/>
    </row>
    <row r="31" spans="1:15" s="70" customFormat="1" ht="21">
      <c r="A31" s="88" t="str">
        <f>CONCATENATE('[1]4. Budget'!A26,'[1]4. Budget'!B26)</f>
        <v>2.2.2:  Implementation of 17 Farmer Field Schools and training of 15,549   farmers using the participatory research and learning-by-doing approach.</v>
      </c>
      <c r="B31" s="144">
        <f t="shared" si="1"/>
        <v>444870</v>
      </c>
      <c r="C31" s="145">
        <f>'4. Budget'!C26</f>
        <v>444870</v>
      </c>
      <c r="D31" s="145">
        <v>0</v>
      </c>
      <c r="E31" s="69"/>
      <c r="F31" s="69"/>
      <c r="G31" s="69"/>
      <c r="H31" s="69"/>
      <c r="I31" s="69"/>
      <c r="J31" s="69"/>
      <c r="K31" s="69"/>
      <c r="L31" s="69"/>
      <c r="M31" s="69"/>
      <c r="N31" s="69"/>
      <c r="O31" s="69"/>
    </row>
    <row r="32" spans="1:15" s="84" customFormat="1" ht="39">
      <c r="A32" s="138" t="s">
        <v>633</v>
      </c>
      <c r="B32" s="139">
        <f t="shared" si="1"/>
        <v>944692.00079999992</v>
      </c>
      <c r="C32" s="139">
        <f>C33+C38+C44</f>
        <v>393499.99999999988</v>
      </c>
      <c r="D32" s="139">
        <f>D33+D38+D44</f>
        <v>551192.00080000004</v>
      </c>
      <c r="E32" s="140"/>
      <c r="F32" s="83"/>
      <c r="G32" s="83"/>
      <c r="H32" s="83"/>
      <c r="I32" s="83"/>
      <c r="J32" s="83"/>
      <c r="K32" s="83"/>
      <c r="L32" s="83"/>
      <c r="M32" s="83"/>
      <c r="N32" s="83"/>
      <c r="O32" s="83"/>
    </row>
    <row r="33" spans="1:15" s="84" customFormat="1" ht="31.5">
      <c r="A33" s="86" t="str">
        <f>CONCATENATE('[1]4. Budget'!A28,'[1]4. Budget'!B28)</f>
        <v>3.1 Develop, discuss and analyze options for policy reforms to support implementation of agroforestry, sylvopastoral and forestry systems for landscape resilience through improved ecos</v>
      </c>
      <c r="B33" s="142">
        <f t="shared" si="1"/>
        <v>260499.99999999985</v>
      </c>
      <c r="C33" s="143">
        <f>SUM(C34:C37)</f>
        <v>260499.99999999985</v>
      </c>
      <c r="D33" s="143">
        <f>SUM(D34:D36)</f>
        <v>0</v>
      </c>
      <c r="E33" s="83"/>
      <c r="F33" s="83"/>
      <c r="G33" s="83"/>
      <c r="H33" s="83"/>
      <c r="I33" s="83"/>
      <c r="J33" s="83"/>
      <c r="K33" s="83"/>
      <c r="L33" s="83"/>
      <c r="M33" s="83"/>
      <c r="N33" s="83"/>
      <c r="O33" s="83"/>
    </row>
    <row r="34" spans="1:15" s="84" customFormat="1" ht="31.5">
      <c r="A34" s="88" t="str">
        <f>CONCATENATE('[1]4. Budget'!A29,'[1]4. Budget'!B29)</f>
        <v>3.1.1:  Ten workshops with expert assistance and input (international and national experts) to facilitate inter-institutional analyses and discussions regarding policy objectives, needs and options for the m</v>
      </c>
      <c r="B34" s="144">
        <f t="shared" si="1"/>
        <v>250499.99999999985</v>
      </c>
      <c r="C34" s="145">
        <f>'6. Fin Timeline by fin Source'!C28</f>
        <v>250499.99999999985</v>
      </c>
      <c r="D34" s="145">
        <v>0</v>
      </c>
      <c r="E34" s="83"/>
      <c r="F34" s="83"/>
      <c r="G34" s="83"/>
      <c r="H34" s="83"/>
      <c r="I34" s="83"/>
      <c r="J34" s="83"/>
      <c r="K34" s="83"/>
      <c r="L34" s="83"/>
      <c r="M34" s="83"/>
      <c r="N34" s="83"/>
      <c r="O34" s="83"/>
    </row>
    <row r="35" spans="1:15" s="84" customFormat="1" ht="31.5">
      <c r="A35" s="88" t="str">
        <f>CONCATENATE('[1]4. Budget'!A30,'[1]4. Budget'!B30)</f>
        <v>3.1.2:  Definition and discussion of institutional modifications or adaptations in support of the different options for policy reforms to support landscape resilience through improved ecosystem services;</v>
      </c>
      <c r="B35" s="457">
        <f t="shared" si="1"/>
        <v>7000</v>
      </c>
      <c r="C35" s="459">
        <f>'6. Fin Timeline by fin Source'!C29</f>
        <v>7000</v>
      </c>
      <c r="D35" s="459">
        <v>0</v>
      </c>
      <c r="E35" s="83"/>
      <c r="F35" s="83"/>
      <c r="G35" s="83"/>
      <c r="H35" s="83"/>
      <c r="I35" s="83"/>
      <c r="J35" s="83"/>
      <c r="K35" s="83"/>
      <c r="L35" s="83"/>
      <c r="M35" s="83"/>
      <c r="N35" s="83"/>
      <c r="O35" s="83"/>
    </row>
    <row r="36" spans="1:15" s="84" customFormat="1" ht="12.95">
      <c r="A36" s="88" t="str">
        <f>CONCATENATE('[1]4. Budget'!A31,'[1]4. Budget'!B31)</f>
        <v>3.1.3:  Development of specific proposals for policy reforms;</v>
      </c>
      <c r="B36" s="458"/>
      <c r="C36" s="460"/>
      <c r="D36" s="460"/>
      <c r="E36" s="83"/>
      <c r="F36" s="83"/>
      <c r="G36" s="83"/>
      <c r="H36" s="83"/>
      <c r="I36" s="83"/>
      <c r="J36" s="83"/>
      <c r="K36" s="83"/>
      <c r="L36" s="83"/>
      <c r="M36" s="83"/>
      <c r="N36" s="83"/>
      <c r="O36" s="83"/>
    </row>
    <row r="37" spans="1:15" s="84" customFormat="1" ht="12.95">
      <c r="A37" s="88" t="str">
        <f>CONCATENATE('[1]4. Budget'!A32,'[1]4. Budget'!B32)</f>
        <v>3.1.4:  Discussion of reform proposals at national level.</v>
      </c>
      <c r="B37" s="144">
        <f t="shared" si="1"/>
        <v>3000</v>
      </c>
      <c r="C37" s="145">
        <f>'6. Fin Timeline by fin Source'!C31</f>
        <v>3000</v>
      </c>
      <c r="D37" s="145">
        <v>0</v>
      </c>
      <c r="E37" s="83"/>
      <c r="F37" s="83"/>
      <c r="G37" s="83"/>
      <c r="H37" s="83"/>
      <c r="I37" s="83"/>
      <c r="J37" s="83"/>
      <c r="K37" s="83"/>
      <c r="L37" s="83"/>
      <c r="M37" s="83"/>
      <c r="N37" s="83"/>
      <c r="O37" s="83"/>
    </row>
    <row r="38" spans="1:15" s="84" customFormat="1" ht="31.5">
      <c r="A38" s="86" t="str">
        <f>CONCATENATE('[1]4. Budget'!A33,'[1]4. Budget'!B33)</f>
        <v>3.2 Establish a Landscape Resilience Fund to support adoption and implementation of agroforestry, sylvopastoral and forestry systems in support of landscape resilience through ecosyste</v>
      </c>
      <c r="B38" s="142">
        <f t="shared" si="1"/>
        <v>642692.00080000004</v>
      </c>
      <c r="C38" s="143">
        <f>SUM(C39:C43)</f>
        <v>91500</v>
      </c>
      <c r="D38" s="143">
        <f>SUM(D39:D43)</f>
        <v>551192.00080000004</v>
      </c>
      <c r="E38" s="258"/>
      <c r="F38" s="258"/>
      <c r="G38" s="258"/>
      <c r="H38" s="83"/>
      <c r="I38" s="83"/>
      <c r="J38" s="83"/>
      <c r="K38" s="83"/>
      <c r="L38" s="83"/>
      <c r="M38" s="83"/>
      <c r="N38" s="83"/>
      <c r="O38" s="83"/>
    </row>
    <row r="39" spans="1:15" s="84" customFormat="1" ht="21">
      <c r="A39" s="88" t="str">
        <f>CONCATENATE('[1]4. Budget'!A34,'[1]4. Budget'!B34)</f>
        <v>3.2.1:  Expert analyses of existing funds (FONADEF, SCF) and other funds both regionally and globally;</v>
      </c>
      <c r="B39" s="144">
        <f t="shared" si="1"/>
        <v>8000</v>
      </c>
      <c r="C39" s="145">
        <f>'6. Fin Timeline by fin Source'!C32</f>
        <v>8000</v>
      </c>
      <c r="D39" s="145">
        <v>0</v>
      </c>
      <c r="E39" s="83"/>
      <c r="F39" s="83"/>
      <c r="G39" s="83"/>
      <c r="H39" s="83"/>
      <c r="I39" s="83"/>
      <c r="J39" s="83"/>
      <c r="K39" s="83"/>
      <c r="L39" s="83"/>
      <c r="M39" s="83"/>
      <c r="N39" s="83"/>
      <c r="O39" s="83"/>
    </row>
    <row r="40" spans="1:15" s="84" customFormat="1" ht="31.5">
      <c r="A40" s="88" t="str">
        <f>CONCATENATE('[1]4. Budget'!A35,'[1]4. Budget'!B35)</f>
        <v>3.2.2:  Ten workshops to analyze and develop options for a Landscape Resilience Fund to support implementation of landscape resilience policies on the ground;</v>
      </c>
      <c r="B40" s="144">
        <f t="shared" si="1"/>
        <v>30000</v>
      </c>
      <c r="C40" s="145">
        <f>'6. Fin Timeline by fin Source'!C33</f>
        <v>30000</v>
      </c>
      <c r="D40" s="145">
        <v>0</v>
      </c>
      <c r="E40" s="83"/>
      <c r="F40" s="83"/>
      <c r="G40" s="83"/>
      <c r="H40" s="83"/>
      <c r="I40" s="83"/>
      <c r="J40" s="83"/>
      <c r="K40" s="83"/>
      <c r="L40" s="83"/>
      <c r="M40" s="83"/>
      <c r="N40" s="83"/>
      <c r="O40" s="83"/>
    </row>
    <row r="41" spans="1:15" s="70" customFormat="1" ht="21">
      <c r="A41" s="88" t="str">
        <f>CONCATENATE('[1]4. Budget'!A36,'[1]4. Budget'!B36)</f>
        <v>3.2.3:  Design of a Landscape Resilience Fund to support resilience-enhancing land use by farmers and producers’ organizations;</v>
      </c>
      <c r="B41" s="144">
        <f t="shared" si="1"/>
        <v>30000</v>
      </c>
      <c r="C41" s="145">
        <f>'6. Fin Timeline by fin Source'!C34</f>
        <v>30000</v>
      </c>
      <c r="D41" s="145">
        <v>0</v>
      </c>
      <c r="E41" s="69"/>
      <c r="F41" s="69"/>
      <c r="G41" s="69"/>
      <c r="H41" s="69"/>
      <c r="I41" s="69"/>
      <c r="J41" s="69"/>
      <c r="K41" s="69"/>
      <c r="L41" s="69"/>
      <c r="M41" s="69"/>
      <c r="N41" s="69"/>
      <c r="O41" s="69"/>
    </row>
    <row r="42" spans="1:15" s="70" customFormat="1" ht="12.95">
      <c r="A42" s="88" t="str">
        <f>CONCATENATE('[1]4. Budget'!A37,'[1]4. Budget'!B37)</f>
        <v>3.2.4:  Formal legal establishment of the Landscape Resilience Fund;</v>
      </c>
      <c r="B42" s="144">
        <f t="shared" si="1"/>
        <v>551192.00080000004</v>
      </c>
      <c r="D42" s="145">
        <f>'6. Fin Timeline by fin Source'!C40</f>
        <v>551192.00080000004</v>
      </c>
      <c r="E42" s="69"/>
      <c r="F42" s="69"/>
      <c r="G42" s="69"/>
      <c r="H42" s="69"/>
      <c r="I42" s="69"/>
      <c r="J42" s="69"/>
      <c r="K42" s="69"/>
      <c r="L42" s="69"/>
      <c r="M42" s="69"/>
      <c r="N42" s="69"/>
      <c r="O42" s="69"/>
    </row>
    <row r="43" spans="1:15" s="70" customFormat="1" ht="21">
      <c r="A43" s="88" t="str">
        <f>CONCATENATE('[1]4. Budget'!A38,'[1]4. Budget'!B38)</f>
        <v>3.2.5:  Elaboration of communication strategy and materials, and dissemination.</v>
      </c>
      <c r="B43" s="144">
        <f t="shared" si="1"/>
        <v>23500</v>
      </c>
      <c r="C43" s="145">
        <f>'6. Fin Timeline by fin Source'!C35</f>
        <v>23500</v>
      </c>
      <c r="D43" s="145">
        <v>0</v>
      </c>
      <c r="E43" s="69"/>
      <c r="F43" s="69"/>
      <c r="G43" s="69"/>
      <c r="H43" s="69"/>
      <c r="I43" s="69"/>
      <c r="J43" s="69"/>
      <c r="K43" s="69"/>
      <c r="L43" s="69"/>
      <c r="M43" s="69"/>
      <c r="N43" s="69"/>
      <c r="O43" s="69"/>
    </row>
    <row r="44" spans="1:15" s="70" customFormat="1" ht="31.5">
      <c r="A44" s="86" t="str">
        <f>CONCATENATE('[1]4. Budget'!A39,'[1]4. Budget'!B39)</f>
        <v>3.3 Strengthen planning, governance and coordination at the landscape level in support of landscape resilience through enhancement of ecosystem services</v>
      </c>
      <c r="B44" s="142">
        <f t="shared" si="1"/>
        <v>41500</v>
      </c>
      <c r="C44" s="143">
        <f>SUM(C45:C47)</f>
        <v>41500</v>
      </c>
      <c r="D44" s="143">
        <f>SUM(D45:D47)</f>
        <v>0</v>
      </c>
      <c r="E44" s="258"/>
      <c r="F44" s="258"/>
      <c r="G44" s="258"/>
      <c r="H44" s="69"/>
      <c r="I44" s="69"/>
      <c r="J44" s="69"/>
      <c r="K44" s="69"/>
      <c r="L44" s="69"/>
      <c r="M44" s="69"/>
      <c r="N44" s="69"/>
      <c r="O44" s="69"/>
    </row>
    <row r="45" spans="1:15" s="70" customFormat="1" ht="38.450000000000003" customHeight="1">
      <c r="A45" s="88" t="str">
        <f>CONCATENATE('[1]4. Budget'!A40,'[1]4. Budget'!B40)</f>
        <v>3.3.1:  Train 30 senior management staff from 10 local branches of established organizations   (Asociacion Cubana de Tecnicos Agricolas y Forestales - ACTAF, Asociacion Cubana de Produccion Animal - ACPA, As</v>
      </c>
      <c r="B45" s="144">
        <f t="shared" si="1"/>
        <v>17500</v>
      </c>
      <c r="C45" s="145">
        <f>'6. Fin Timeline by fin Source'!C36</f>
        <v>17500</v>
      </c>
      <c r="D45" s="145">
        <v>0</v>
      </c>
      <c r="E45" s="69"/>
      <c r="F45" s="69"/>
      <c r="G45" s="69"/>
      <c r="H45" s="69"/>
      <c r="I45" s="69"/>
      <c r="J45" s="69"/>
      <c r="K45" s="69"/>
      <c r="L45" s="69"/>
      <c r="M45" s="69"/>
      <c r="N45" s="69"/>
      <c r="O45" s="69"/>
    </row>
    <row r="46" spans="1:15" s="70" customFormat="1" ht="21">
      <c r="A46" s="88" t="str">
        <f>CONCATENATE('[1]4. Budget'!A41,'[1]4. Budget'!B41)</f>
        <v>3.3.2:  Multi-level review and analysis of landscape resilience policies and planning instruments as a framework for adaptive landscape management;</v>
      </c>
      <c r="B46" s="144">
        <f t="shared" si="1"/>
        <v>7500</v>
      </c>
      <c r="C46" s="145">
        <f>'6. Fin Timeline by fin Source'!C37</f>
        <v>7500</v>
      </c>
      <c r="D46" s="145"/>
      <c r="E46" s="69"/>
      <c r="F46" s="69"/>
      <c r="G46" s="69"/>
      <c r="H46" s="69"/>
      <c r="I46" s="69"/>
      <c r="J46" s="69"/>
      <c r="K46" s="69"/>
      <c r="L46" s="69"/>
      <c r="M46" s="69"/>
      <c r="N46" s="69"/>
      <c r="O46" s="69"/>
    </row>
    <row r="47" spans="1:15" s="70" customFormat="1" ht="41.45" customHeight="1">
      <c r="A47" s="88" t="str">
        <f>CONCATENATE('[1]4. Budget'!A42,'[1]4. Budget'!B42)</f>
        <v>3.3.3:  Fifteen workshops to strengthen coordination in local landscape governance structures for climate change adaptation: Comision de Reforestacion, Grupo de Bahia, Comision de Cuencas Hidrograficas, Comi</v>
      </c>
      <c r="B47" s="144">
        <f t="shared" si="1"/>
        <v>16500</v>
      </c>
      <c r="C47" s="145">
        <f>'6. Fin Timeline by fin Source'!C38</f>
        <v>16500</v>
      </c>
      <c r="D47" s="145"/>
      <c r="E47" s="69"/>
      <c r="F47" s="69"/>
      <c r="G47" s="69"/>
      <c r="H47" s="69"/>
      <c r="I47" s="69"/>
      <c r="J47" s="69"/>
      <c r="K47" s="69"/>
      <c r="L47" s="69"/>
      <c r="M47" s="69"/>
      <c r="N47" s="69"/>
      <c r="O47" s="69"/>
    </row>
    <row r="48" spans="1:15" s="70" customFormat="1" ht="12.95">
      <c r="A48" s="138" t="s">
        <v>634</v>
      </c>
      <c r="B48" s="139">
        <f>+C48+D48</f>
        <v>6372478.9066666672</v>
      </c>
      <c r="C48" s="139">
        <f>'6. Fin Timeline by fin Source'!C42</f>
        <v>1760078.6666666663</v>
      </c>
      <c r="D48" s="139">
        <f>'6. Fin Timeline by fin Source'!C43</f>
        <v>4612400.2400000012</v>
      </c>
      <c r="E48" s="258"/>
      <c r="F48" s="258"/>
      <c r="G48" s="258"/>
      <c r="H48" s="69"/>
      <c r="I48" s="69"/>
      <c r="J48" s="69"/>
      <c r="K48" s="69"/>
      <c r="L48" s="69"/>
      <c r="M48" s="69"/>
      <c r="N48" s="69"/>
      <c r="O48" s="69"/>
    </row>
    <row r="49" spans="1:15" s="70" customFormat="1" ht="12.95">
      <c r="A49" s="138" t="s">
        <v>635</v>
      </c>
      <c r="B49" s="139">
        <f>+C49+D49</f>
        <v>811999.99920000019</v>
      </c>
      <c r="C49" s="139">
        <f>'6. Fin Timeline by fin Source'!C45</f>
        <v>561999.9996000001</v>
      </c>
      <c r="D49" s="139">
        <f>'6. Fin Timeline by fin Source'!C46</f>
        <v>249999.9996000001</v>
      </c>
      <c r="E49" s="258"/>
      <c r="F49" s="258"/>
      <c r="G49" s="258"/>
      <c r="H49" s="69"/>
      <c r="I49" s="69"/>
      <c r="J49" s="69"/>
      <c r="K49" s="69"/>
      <c r="L49" s="69"/>
      <c r="M49" s="69"/>
      <c r="N49" s="69"/>
      <c r="O49" s="69"/>
    </row>
    <row r="50" spans="1:15">
      <c r="B50" s="100"/>
      <c r="C50" s="100"/>
    </row>
  </sheetData>
  <mergeCells count="4">
    <mergeCell ref="A6:A7"/>
    <mergeCell ref="B35:B36"/>
    <mergeCell ref="C35:C36"/>
    <mergeCell ref="D35:D36"/>
  </mergeCells>
  <pageMargins left="0.7" right="0.7" top="0.75" bottom="0.75" header="0.3" footer="0.3"/>
  <pageSetup paperSize="9" scale="91" fitToHeight="0" orientation="portrait" r:id="rId1"/>
  <rowBreaks count="1" manualBreakCount="1">
    <brk id="31" max="3" man="1"/>
  </rowBreaks>
  <colBreaks count="1" manualBreakCount="1">
    <brk id="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8"/>
  <dimension ref="A1:K51"/>
  <sheetViews>
    <sheetView showGridLines="0" topLeftCell="A4" zoomScale="80" zoomScaleNormal="80" workbookViewId="0">
      <selection activeCell="L8" sqref="L8"/>
    </sheetView>
  </sheetViews>
  <sheetFormatPr defaultColWidth="11.42578125" defaultRowHeight="14.45"/>
  <cols>
    <col min="1" max="1" width="5.42578125" style="37" bestFit="1" customWidth="1"/>
    <col min="2" max="2" width="59.42578125" style="37" customWidth="1"/>
    <col min="3" max="9" width="8.85546875" style="37" customWidth="1"/>
    <col min="10" max="10" width="14.42578125" style="163" bestFit="1" customWidth="1"/>
    <col min="11" max="16384" width="11.42578125" style="163"/>
  </cols>
  <sheetData>
    <row r="1" spans="1:11">
      <c r="A1" s="463" t="s">
        <v>674</v>
      </c>
      <c r="B1" s="463"/>
      <c r="C1" s="463"/>
      <c r="D1" s="463"/>
      <c r="E1" s="463"/>
      <c r="F1" s="463"/>
      <c r="G1" s="463"/>
      <c r="H1" s="463"/>
      <c r="I1" s="463"/>
    </row>
    <row r="2" spans="1:11" s="106" customFormat="1" ht="12.95">
      <c r="A2" s="464" t="s">
        <v>641</v>
      </c>
      <c r="B2" s="464"/>
      <c r="C2" s="156" t="s">
        <v>643</v>
      </c>
      <c r="D2" s="156" t="s">
        <v>644</v>
      </c>
      <c r="E2" s="156" t="s">
        <v>645</v>
      </c>
      <c r="F2" s="156" t="s">
        <v>646</v>
      </c>
      <c r="G2" s="156" t="s">
        <v>647</v>
      </c>
      <c r="H2" s="156" t="s">
        <v>648</v>
      </c>
      <c r="I2" s="156" t="s">
        <v>649</v>
      </c>
    </row>
    <row r="3" spans="1:11" s="106" customFormat="1" ht="36.6" customHeight="1">
      <c r="A3" s="465" t="s">
        <v>631</v>
      </c>
      <c r="B3" s="466"/>
      <c r="C3" s="467"/>
      <c r="D3" s="467"/>
      <c r="E3" s="467"/>
      <c r="F3" s="467"/>
      <c r="G3" s="467"/>
      <c r="H3" s="467"/>
      <c r="I3" s="468"/>
      <c r="J3" s="107"/>
      <c r="K3" s="154"/>
    </row>
    <row r="4" spans="1:11" s="80" customFormat="1" ht="27" customHeight="1" collapsed="1">
      <c r="A4" s="157" t="str">
        <f>'[1]4. Budget'!A5</f>
        <v xml:space="preserve">1.1 </v>
      </c>
      <c r="B4" s="469" t="str">
        <f>'[1]4. Budget'!B5</f>
        <v>Restore approximately 15,544 ha of farmland from marabu, and increase CC-resilience through sustainable agroforestry (AF), CTNPFs and assisted natural regeneration (mitigation co-benefit 417,532 milli</v>
      </c>
      <c r="C4" s="470"/>
      <c r="D4" s="470"/>
      <c r="E4" s="470"/>
      <c r="F4" s="470"/>
      <c r="G4" s="470"/>
      <c r="H4" s="470"/>
      <c r="I4" s="471"/>
      <c r="J4" s="107"/>
      <c r="K4" s="110"/>
    </row>
    <row r="5" spans="1:11" s="80" customFormat="1" ht="18.600000000000001">
      <c r="A5" s="108" t="str">
        <f>'[1]4. Budget'!A6</f>
        <v xml:space="preserve">1.1.1: </v>
      </c>
      <c r="B5" s="158" t="str">
        <f>'[1]4. Budget'!B6</f>
        <v xml:space="preserve"> Procure identified technologies and equipment</v>
      </c>
      <c r="C5" s="164" t="s">
        <v>675</v>
      </c>
      <c r="D5" s="164" t="s">
        <v>675</v>
      </c>
      <c r="E5" s="164" t="s">
        <v>675</v>
      </c>
      <c r="F5" s="164" t="s">
        <v>675</v>
      </c>
      <c r="G5" s="164" t="s">
        <v>675</v>
      </c>
      <c r="H5" s="164" t="s">
        <v>675</v>
      </c>
      <c r="I5" s="164" t="s">
        <v>675</v>
      </c>
      <c r="J5" s="107"/>
      <c r="K5" s="110"/>
    </row>
    <row r="6" spans="1:11" s="80" customFormat="1" ht="18.600000000000001">
      <c r="A6" s="108" t="str">
        <f>'[1]4. Budget'!A7</f>
        <v xml:space="preserve">1.1.2: </v>
      </c>
      <c r="B6" s="109" t="str">
        <f>'[1]4. Budget'!B7</f>
        <v xml:space="preserve"> Develop training materials for operations and maintenance</v>
      </c>
      <c r="C6" s="164" t="s">
        <v>675</v>
      </c>
      <c r="D6" s="164" t="s">
        <v>675</v>
      </c>
      <c r="E6" s="164" t="s">
        <v>675</v>
      </c>
      <c r="F6" s="165"/>
      <c r="G6" s="165"/>
      <c r="H6" s="165"/>
      <c r="I6" s="165"/>
      <c r="J6" s="107"/>
      <c r="K6" s="110"/>
    </row>
    <row r="7" spans="1:11" s="80" customFormat="1" ht="18.600000000000001">
      <c r="A7" s="108" t="str">
        <f>'[1]4. Budget'!A8</f>
        <v xml:space="preserve">1.1.3: </v>
      </c>
      <c r="B7" s="109" t="str">
        <f>'[1]4. Budget'!B8</f>
        <v xml:space="preserve"> Train 74 machinery operators</v>
      </c>
      <c r="C7" s="164" t="s">
        <v>675</v>
      </c>
      <c r="D7" s="164" t="s">
        <v>675</v>
      </c>
      <c r="E7" s="165"/>
      <c r="F7" s="165"/>
      <c r="G7" s="165"/>
      <c r="H7" s="165"/>
      <c r="I7" s="165"/>
      <c r="J7" s="107"/>
      <c r="K7" s="110"/>
    </row>
    <row r="8" spans="1:11" s="80" customFormat="1" ht="18.600000000000001">
      <c r="A8" s="108" t="str">
        <f>'[1]4. Budget'!A9</f>
        <v xml:space="preserve">1.1.4: </v>
      </c>
      <c r="B8" s="109" t="str">
        <f>'[1]4. Budget'!B9</f>
        <v xml:space="preserve"> Apply technologies to marabu eradication on 15,544 ha </v>
      </c>
      <c r="C8" s="164" t="s">
        <v>675</v>
      </c>
      <c r="D8" s="164" t="s">
        <v>675</v>
      </c>
      <c r="E8" s="164" t="s">
        <v>675</v>
      </c>
      <c r="F8" s="164" t="s">
        <v>675</v>
      </c>
      <c r="G8" s="164" t="s">
        <v>675</v>
      </c>
      <c r="H8" s="164" t="s">
        <v>675</v>
      </c>
      <c r="I8" s="164" t="s">
        <v>675</v>
      </c>
      <c r="J8" s="107"/>
      <c r="K8" s="110"/>
    </row>
    <row r="9" spans="1:11" s="80" customFormat="1" ht="18.600000000000001">
      <c r="A9" s="108" t="str">
        <f>'[1]4. Budget'!A10</f>
        <v xml:space="preserve">1.1.5: </v>
      </c>
      <c r="B9" s="109" t="str">
        <f>'[1]4. Budget'!B10</f>
        <v xml:space="preserve"> Construct 896 water security systems (storage facilities and irrigation)</v>
      </c>
      <c r="C9" s="164" t="s">
        <v>675</v>
      </c>
      <c r="D9" s="164" t="s">
        <v>675</v>
      </c>
      <c r="E9" s="164" t="s">
        <v>675</v>
      </c>
      <c r="F9" s="164" t="s">
        <v>675</v>
      </c>
      <c r="G9" s="164" t="s">
        <v>675</v>
      </c>
      <c r="H9" s="165"/>
      <c r="I9" s="165"/>
      <c r="J9" s="107"/>
      <c r="K9" s="110"/>
    </row>
    <row r="10" spans="1:11" s="80" customFormat="1" ht="30" customHeight="1">
      <c r="A10" s="108" t="str">
        <f>'[1]4. Budget'!A11</f>
        <v xml:space="preserve">1.1.6: </v>
      </c>
      <c r="B10" s="160" t="str">
        <f>'[1]4. Budget'!B11</f>
        <v xml:space="preserve"> Establish and implement agroforestry, reforestation and assisted natural regeneration modules </v>
      </c>
      <c r="C10" s="164" t="s">
        <v>675</v>
      </c>
      <c r="D10" s="164" t="s">
        <v>675</v>
      </c>
      <c r="E10" s="164" t="s">
        <v>675</v>
      </c>
      <c r="F10" s="164" t="s">
        <v>675</v>
      </c>
      <c r="G10" s="164" t="s">
        <v>675</v>
      </c>
      <c r="H10" s="164" t="s">
        <v>675</v>
      </c>
      <c r="I10" s="164" t="s">
        <v>675</v>
      </c>
      <c r="J10" s="107"/>
      <c r="K10" s="110"/>
    </row>
    <row r="11" spans="1:11" s="80" customFormat="1" ht="31.35" customHeight="1">
      <c r="A11" s="159" t="str">
        <f>'[1]4. Budget'!A12</f>
        <v xml:space="preserve">1.2 </v>
      </c>
      <c r="B11" s="469" t="str">
        <f>'[1]4. Budget'!B12</f>
        <v>Restore approximately 20,189 ha of rangeland with compacted soils and increase CC-resilience through improved sylvopastoral systems (mitigation net co-benefit 703,225.3 million t CO2eq in 7 years of i</v>
      </c>
      <c r="C11" s="470"/>
      <c r="D11" s="470"/>
      <c r="E11" s="470"/>
      <c r="F11" s="470"/>
      <c r="G11" s="470"/>
      <c r="H11" s="470"/>
      <c r="I11" s="471"/>
      <c r="J11" s="107"/>
      <c r="K11" s="110"/>
    </row>
    <row r="12" spans="1:11" s="80" customFormat="1" ht="18.600000000000001">
      <c r="A12" s="108" t="str">
        <f>'[1]4. Budget'!A13</f>
        <v xml:space="preserve">1.2.1: </v>
      </c>
      <c r="B12" s="158" t="str">
        <f>'[1]4. Budget'!B13</f>
        <v xml:space="preserve"> Procure and field identified technologies and equipment</v>
      </c>
      <c r="C12" s="164" t="s">
        <v>675</v>
      </c>
      <c r="D12" s="164" t="s">
        <v>675</v>
      </c>
      <c r="E12" s="164" t="s">
        <v>675</v>
      </c>
      <c r="F12" s="164" t="s">
        <v>675</v>
      </c>
      <c r="G12" s="164" t="s">
        <v>675</v>
      </c>
      <c r="H12" s="164" t="s">
        <v>675</v>
      </c>
      <c r="I12" s="164" t="s">
        <v>675</v>
      </c>
      <c r="J12" s="107"/>
      <c r="K12" s="110"/>
    </row>
    <row r="13" spans="1:11" s="80" customFormat="1" ht="18.600000000000001">
      <c r="A13" s="108" t="str">
        <f>'[1]4. Budget'!A14</f>
        <v xml:space="preserve">1.2.2: </v>
      </c>
      <c r="B13" s="109" t="str">
        <f>'[1]4. Budget'!B14</f>
        <v xml:space="preserve"> Develop training materials </v>
      </c>
      <c r="C13" s="164" t="s">
        <v>675</v>
      </c>
      <c r="D13" s="164" t="s">
        <v>675</v>
      </c>
      <c r="E13" s="164" t="s">
        <v>675</v>
      </c>
      <c r="F13" s="166"/>
      <c r="G13" s="166"/>
      <c r="H13" s="166"/>
      <c r="I13" s="166"/>
      <c r="J13" s="107"/>
      <c r="K13" s="110"/>
    </row>
    <row r="14" spans="1:11" s="80" customFormat="1" ht="18.600000000000001">
      <c r="A14" s="108" t="str">
        <f>'[1]4. Budget'!A15</f>
        <v xml:space="preserve">1.2.3: </v>
      </c>
      <c r="B14" s="109" t="str">
        <f>'[1]4. Budget'!B15</f>
        <v xml:space="preserve"> Train 68 machinery operators  </v>
      </c>
      <c r="C14" s="164" t="s">
        <v>675</v>
      </c>
      <c r="D14" s="164" t="s">
        <v>675</v>
      </c>
      <c r="E14" s="166"/>
      <c r="F14" s="166"/>
      <c r="G14" s="166"/>
      <c r="H14" s="166"/>
      <c r="I14" s="166"/>
      <c r="J14" s="107"/>
      <c r="K14" s="110"/>
    </row>
    <row r="15" spans="1:11" s="80" customFormat="1" ht="18.600000000000001">
      <c r="A15" s="108" t="str">
        <f>'[1]4. Budget'!A16</f>
        <v xml:space="preserve">1.2.4: </v>
      </c>
      <c r="B15" s="109" t="str">
        <f>'[1]4. Budget'!B16</f>
        <v xml:space="preserve"> Implement sub-soiling of 20,189 hectares of compacted rangeland</v>
      </c>
      <c r="C15" s="164" t="s">
        <v>675</v>
      </c>
      <c r="D15" s="164" t="s">
        <v>675</v>
      </c>
      <c r="E15" s="164" t="s">
        <v>675</v>
      </c>
      <c r="F15" s="164" t="s">
        <v>675</v>
      </c>
      <c r="G15" s="164" t="s">
        <v>675</v>
      </c>
      <c r="H15" s="164" t="s">
        <v>675</v>
      </c>
      <c r="I15" s="164" t="s">
        <v>675</v>
      </c>
      <c r="J15" s="107"/>
      <c r="K15" s="110"/>
    </row>
    <row r="16" spans="1:11" s="80" customFormat="1" ht="26.45" customHeight="1">
      <c r="A16" s="108" t="str">
        <f>'[1]4. Budget'!A17</f>
        <v xml:space="preserve">1.2.5: </v>
      </c>
      <c r="B16" s="109" t="str">
        <f>'[1]4. Budget'!B17</f>
        <v xml:space="preserve"> Construct 11,362 small-scale water security systems (storage and livestock drinking facilities)</v>
      </c>
      <c r="C16" s="164" t="s">
        <v>675</v>
      </c>
      <c r="D16" s="164" t="s">
        <v>675</v>
      </c>
      <c r="E16" s="164" t="s">
        <v>675</v>
      </c>
      <c r="F16" s="164" t="s">
        <v>675</v>
      </c>
      <c r="G16" s="164" t="s">
        <v>675</v>
      </c>
      <c r="H16" s="166"/>
      <c r="I16" s="166"/>
      <c r="J16" s="107"/>
      <c r="K16" s="110"/>
    </row>
    <row r="17" spans="1:11" s="80" customFormat="1" ht="26.45" customHeight="1">
      <c r="A17" s="161" t="str">
        <f>'[1]4. Budget'!A18</f>
        <v xml:space="preserve">1.2.6: </v>
      </c>
      <c r="B17" s="160" t="str">
        <f>'[1]4. Budget'!B18</f>
        <v xml:space="preserve"> Establish and implement sylvopastoral modules, including improved grazing systems </v>
      </c>
      <c r="C17" s="164" t="s">
        <v>675</v>
      </c>
      <c r="D17" s="164" t="s">
        <v>675</v>
      </c>
      <c r="E17" s="164" t="s">
        <v>675</v>
      </c>
      <c r="F17" s="164" t="s">
        <v>675</v>
      </c>
      <c r="G17" s="164" t="s">
        <v>675</v>
      </c>
      <c r="H17" s="164" t="s">
        <v>675</v>
      </c>
      <c r="I17" s="164" t="s">
        <v>675</v>
      </c>
      <c r="J17" s="107"/>
      <c r="K17" s="110"/>
    </row>
    <row r="18" spans="1:11" s="80" customFormat="1" ht="43.7" customHeight="1">
      <c r="A18" s="465" t="s">
        <v>632</v>
      </c>
      <c r="B18" s="466"/>
      <c r="C18" s="467"/>
      <c r="D18" s="467"/>
      <c r="E18" s="467"/>
      <c r="F18" s="467"/>
      <c r="G18" s="467"/>
      <c r="H18" s="467"/>
      <c r="I18" s="468"/>
      <c r="J18" s="107"/>
    </row>
    <row r="19" spans="1:11" s="80" customFormat="1" ht="29.45" customHeight="1">
      <c r="A19" s="157" t="str">
        <f>'[1]4. Budget'!A20</f>
        <v xml:space="preserve">2.1 </v>
      </c>
      <c r="B19" s="469" t="str">
        <f>'[1]4. Budget'!B20</f>
        <v>Increase institutional capacities to support farmers and producers’ organizations to establish and maintain agroforestry, sylvopastoral and forestry systems for improved ecosystem services</v>
      </c>
      <c r="C19" s="467"/>
      <c r="D19" s="467"/>
      <c r="E19" s="467"/>
      <c r="F19" s="467"/>
      <c r="G19" s="467"/>
      <c r="H19" s="467"/>
      <c r="I19" s="468"/>
      <c r="J19" s="107"/>
    </row>
    <row r="20" spans="1:11" s="80" customFormat="1" ht="23.45" customHeight="1">
      <c r="A20" s="108" t="str">
        <f>'[1]4. Budget'!A21</f>
        <v xml:space="preserve">2.1.1: </v>
      </c>
      <c r="B20" s="158" t="str">
        <f>'[1]4. Budget'!B21</f>
        <v xml:space="preserve"> Develop training   materials for use by trainers of extensionists</v>
      </c>
      <c r="C20" s="164" t="s">
        <v>675</v>
      </c>
      <c r="D20" s="164" t="s">
        <v>675</v>
      </c>
      <c r="E20" s="164" t="s">
        <v>675</v>
      </c>
      <c r="F20" s="164" t="s">
        <v>675</v>
      </c>
      <c r="G20" s="164" t="s">
        <v>675</v>
      </c>
      <c r="H20" s="164" t="s">
        <v>675</v>
      </c>
      <c r="I20" s="167"/>
      <c r="J20" s="107"/>
      <c r="K20" s="110"/>
    </row>
    <row r="21" spans="1:11" s="80" customFormat="1" ht="36">
      <c r="A21" s="108" t="str">
        <f>'[1]4. Budget'!A22</f>
        <v xml:space="preserve">2.1.2: </v>
      </c>
      <c r="B21" s="109" t="str">
        <f>'[1]4. Budget'!B22</f>
        <v xml:space="preserve"> Train 443 extension service technicians, agricultural technicians, and cooperative leaders   to lead  farmers in gender and age-sensitive learning-by-doing regarding the implementation, operations an</v>
      </c>
      <c r="C21" s="164" t="s">
        <v>675</v>
      </c>
      <c r="D21" s="164" t="s">
        <v>675</v>
      </c>
      <c r="E21" s="166"/>
      <c r="F21" s="166"/>
      <c r="G21" s="166"/>
      <c r="H21" s="166"/>
      <c r="I21" s="166"/>
      <c r="J21" s="107"/>
      <c r="K21" s="110"/>
    </row>
    <row r="22" spans="1:11" s="80" customFormat="1" ht="43.35" customHeight="1">
      <c r="A22" s="108" t="str">
        <f>'[1]4. Budget'!A23</f>
        <v xml:space="preserve">2.1.3: </v>
      </c>
      <c r="B22" s="160" t="str">
        <f>'[1]4. Budget'!B23</f>
        <v xml:space="preserve"> Development of supplementary learning materials and information on CC, ecosystem function and services, agroecology, agroforestry and forestry systems, and farm economics;</v>
      </c>
      <c r="C22" s="164" t="s">
        <v>675</v>
      </c>
      <c r="D22" s="164" t="s">
        <v>675</v>
      </c>
      <c r="E22" s="168"/>
      <c r="F22" s="168"/>
      <c r="G22" s="168"/>
      <c r="H22" s="168"/>
      <c r="I22" s="168"/>
      <c r="J22" s="107"/>
      <c r="K22" s="110"/>
    </row>
    <row r="23" spans="1:11" s="80" customFormat="1" ht="19.7" customHeight="1">
      <c r="A23" s="162" t="str">
        <f>'[1]4. Budget'!A24</f>
        <v xml:space="preserve">2.2 </v>
      </c>
      <c r="B23" s="472" t="str">
        <f>'[1]4. Budget'!B24</f>
        <v xml:space="preserve">Train agricultural producers to collectively revitalize and manage production landscapes for gender-equitable climate-resilient agriculture and ecosystem services
</v>
      </c>
      <c r="C23" s="473"/>
      <c r="D23" s="473"/>
      <c r="E23" s="473"/>
      <c r="F23" s="473"/>
      <c r="G23" s="473"/>
      <c r="H23" s="473"/>
      <c r="I23" s="474"/>
      <c r="J23" s="107"/>
    </row>
    <row r="24" spans="1:11" s="80" customFormat="1" ht="42.6" customHeight="1">
      <c r="A24" s="108" t="str">
        <f>'[1]4. Budget'!A25</f>
        <v xml:space="preserve">2.2.1: </v>
      </c>
      <c r="B24" s="158" t="str">
        <f>'[1]4. Budget'!B25</f>
        <v xml:space="preserve"> Establish or strengthen existing Farmer Field Schools (17) in the seven municipalities based on type of agroforestry, sylvopastoral or forestry system to be implemented and logistical and other consi</v>
      </c>
      <c r="C24" s="164" t="s">
        <v>675</v>
      </c>
      <c r="D24" s="164" t="s">
        <v>675</v>
      </c>
      <c r="E24" s="164" t="s">
        <v>675</v>
      </c>
      <c r="F24" s="164" t="s">
        <v>675</v>
      </c>
      <c r="G24" s="164" t="s">
        <v>675</v>
      </c>
      <c r="H24" s="164" t="s">
        <v>675</v>
      </c>
      <c r="I24" s="164" t="s">
        <v>675</v>
      </c>
      <c r="J24" s="107"/>
      <c r="K24" s="110"/>
    </row>
    <row r="25" spans="1:11" s="80" customFormat="1" ht="25.5" customHeight="1">
      <c r="A25" s="161" t="str">
        <f>'[1]4. Budget'!A26</f>
        <v xml:space="preserve">2.2.2: </v>
      </c>
      <c r="B25" s="160" t="str">
        <f>'[1]4. Budget'!B26</f>
        <v xml:space="preserve"> Implementation of 17 Farmer Field Schools and training of 15,549   farmers using the participatory research and learning-by-doing approach.</v>
      </c>
      <c r="C25" s="164" t="s">
        <v>675</v>
      </c>
      <c r="D25" s="164" t="s">
        <v>675</v>
      </c>
      <c r="E25" s="164" t="s">
        <v>675</v>
      </c>
      <c r="F25" s="164" t="s">
        <v>675</v>
      </c>
      <c r="G25" s="164" t="s">
        <v>675</v>
      </c>
      <c r="H25" s="164" t="s">
        <v>675</v>
      </c>
      <c r="I25" s="164" t="s">
        <v>675</v>
      </c>
      <c r="J25" s="107"/>
      <c r="K25" s="110"/>
    </row>
    <row r="26" spans="1:11" s="80" customFormat="1" ht="35.450000000000003" customHeight="1">
      <c r="A26" s="465" t="s">
        <v>633</v>
      </c>
      <c r="B26" s="466"/>
      <c r="C26" s="467"/>
      <c r="D26" s="467"/>
      <c r="E26" s="467"/>
      <c r="F26" s="467"/>
      <c r="G26" s="467"/>
      <c r="H26" s="467"/>
      <c r="I26" s="468"/>
      <c r="J26" s="107"/>
    </row>
    <row r="27" spans="1:11" s="80" customFormat="1" ht="31.7" customHeight="1">
      <c r="A27" s="157" t="str">
        <f>'[1]4. Budget'!A28</f>
        <v xml:space="preserve">3.1 </v>
      </c>
      <c r="B27" s="469" t="str">
        <f>'[1]4. Budget'!B28</f>
        <v>Develop, discuss and analyze options for policy reforms to support implementation of agroforestry, sylvopastoral and forestry systems for landscape resilience through improved ecos</v>
      </c>
      <c r="C27" s="470"/>
      <c r="D27" s="470"/>
      <c r="E27" s="470"/>
      <c r="F27" s="470"/>
      <c r="G27" s="470"/>
      <c r="H27" s="470"/>
      <c r="I27" s="471"/>
      <c r="J27" s="110"/>
    </row>
    <row r="28" spans="1:11" s="80" customFormat="1" ht="42.6" customHeight="1">
      <c r="A28" s="108" t="str">
        <f>'[1]4. Budget'!A29</f>
        <v xml:space="preserve">3.1.1: </v>
      </c>
      <c r="B28" s="158" t="str">
        <f>'[1]4. Budget'!B29</f>
        <v xml:space="preserve"> Ten workshops with expert assistance and input (international and national experts) to facilitate inter-institutional analyses and discussions regarding policy objectives, needs and options for the m</v>
      </c>
      <c r="C28" s="164" t="s">
        <v>675</v>
      </c>
      <c r="D28" s="164" t="s">
        <v>675</v>
      </c>
      <c r="E28" s="164" t="s">
        <v>675</v>
      </c>
      <c r="F28" s="164" t="s">
        <v>675</v>
      </c>
      <c r="G28" s="164" t="s">
        <v>675</v>
      </c>
      <c r="H28" s="164" t="s">
        <v>675</v>
      </c>
      <c r="I28" s="164" t="s">
        <v>675</v>
      </c>
      <c r="J28" s="107"/>
    </row>
    <row r="29" spans="1:11" s="80" customFormat="1" ht="42.6" customHeight="1">
      <c r="A29" s="108" t="str">
        <f>'[1]4. Budget'!A30</f>
        <v xml:space="preserve">3.1.2: </v>
      </c>
      <c r="B29" s="109" t="str">
        <f>'[1]4. Budget'!B30</f>
        <v xml:space="preserve"> Definition and discussion of institutional modifications or adaptations in support of the different options for policy reforms to support landscape resilience through improved ecosystem services;</v>
      </c>
      <c r="C29" s="169"/>
      <c r="D29" s="164" t="s">
        <v>675</v>
      </c>
      <c r="E29" s="164" t="s">
        <v>675</v>
      </c>
      <c r="F29" s="164" t="s">
        <v>675</v>
      </c>
      <c r="G29" s="164" t="s">
        <v>675</v>
      </c>
      <c r="H29" s="169"/>
      <c r="I29" s="169"/>
      <c r="J29" s="107"/>
    </row>
    <row r="30" spans="1:11" s="80" customFormat="1" ht="22.35" customHeight="1">
      <c r="A30" s="108" t="str">
        <f>'[1]4. Budget'!A31</f>
        <v xml:space="preserve">3.1.3: </v>
      </c>
      <c r="B30" s="109" t="str">
        <f>'[1]4. Budget'!B31</f>
        <v xml:space="preserve"> Development of specific proposals for policy reforms;</v>
      </c>
      <c r="C30" s="169"/>
      <c r="D30" s="164" t="s">
        <v>675</v>
      </c>
      <c r="E30" s="164" t="s">
        <v>675</v>
      </c>
      <c r="F30" s="164" t="s">
        <v>675</v>
      </c>
      <c r="G30" s="164" t="s">
        <v>675</v>
      </c>
      <c r="H30" s="169"/>
      <c r="I30" s="169"/>
      <c r="J30" s="107"/>
    </row>
    <row r="31" spans="1:11" s="80" customFormat="1" ht="25.7" customHeight="1">
      <c r="A31" s="108" t="str">
        <f>'[1]4. Budget'!A32</f>
        <v xml:space="preserve">3.1.4: </v>
      </c>
      <c r="B31" s="160" t="str">
        <f>'[1]4. Budget'!B32</f>
        <v xml:space="preserve"> Discussion of reform proposals at national level.</v>
      </c>
      <c r="C31" s="170"/>
      <c r="D31" s="164" t="s">
        <v>675</v>
      </c>
      <c r="E31" s="164" t="s">
        <v>675</v>
      </c>
      <c r="F31" s="170"/>
      <c r="G31" s="170"/>
      <c r="H31" s="170"/>
      <c r="I31" s="170"/>
      <c r="J31" s="107"/>
    </row>
    <row r="32" spans="1:11" s="80" customFormat="1" ht="35.450000000000003" customHeight="1">
      <c r="A32" s="162" t="str">
        <f>'[1]4. Budget'!A33</f>
        <v xml:space="preserve">3.2 </v>
      </c>
      <c r="B32" s="469" t="str">
        <f>'[1]4. Budget'!B33</f>
        <v>Establish a Landscape Resilience Fund to support adoption and implementation of agroforestry, sylvopastoral and forestry systems in support of landscape resilience through ecosyste</v>
      </c>
      <c r="C32" s="470"/>
      <c r="D32" s="470"/>
      <c r="E32" s="470"/>
      <c r="F32" s="470"/>
      <c r="G32" s="470"/>
      <c r="H32" s="470"/>
      <c r="I32" s="471"/>
      <c r="J32" s="107"/>
    </row>
    <row r="33" spans="1:10" s="80" customFormat="1" ht="30.6" customHeight="1">
      <c r="A33" s="108" t="str">
        <f>'[1]4. Budget'!A34</f>
        <v xml:space="preserve">3.2.1: </v>
      </c>
      <c r="B33" s="158" t="str">
        <f>'[1]4. Budget'!B34</f>
        <v xml:space="preserve"> Expert analyses of existing funds (FONADEF, SCF) and other funds both regionally and globally;</v>
      </c>
      <c r="C33" s="164" t="s">
        <v>675</v>
      </c>
      <c r="D33" s="164" t="s">
        <v>675</v>
      </c>
      <c r="E33" s="164" t="s">
        <v>675</v>
      </c>
      <c r="F33" s="167"/>
      <c r="G33" s="167"/>
      <c r="H33" s="167"/>
      <c r="I33" s="167"/>
      <c r="J33" s="107"/>
    </row>
    <row r="34" spans="1:10" s="80" customFormat="1" ht="35.450000000000003" customHeight="1">
      <c r="A34" s="108" t="str">
        <f>'[1]4. Budget'!A35</f>
        <v xml:space="preserve">3.2.2: </v>
      </c>
      <c r="B34" s="109" t="str">
        <f>'[1]4. Budget'!B35</f>
        <v xml:space="preserve"> Ten workshops to analyze and develop options for a Landscape Resilience Fund to support implementation of landscape resilience policies on the ground;</v>
      </c>
      <c r="C34" s="164" t="s">
        <v>675</v>
      </c>
      <c r="D34" s="164" t="s">
        <v>675</v>
      </c>
      <c r="E34" s="164" t="s">
        <v>675</v>
      </c>
      <c r="F34" s="164" t="s">
        <v>675</v>
      </c>
      <c r="G34" s="166"/>
      <c r="H34" s="166"/>
      <c r="I34" s="166"/>
      <c r="J34" s="107"/>
    </row>
    <row r="35" spans="1:10" s="80" customFormat="1" ht="33.6" customHeight="1">
      <c r="A35" s="108" t="str">
        <f>'[1]4. Budget'!A36</f>
        <v xml:space="preserve">3.2.3: </v>
      </c>
      <c r="B35" s="109" t="str">
        <f>'[1]4. Budget'!B36</f>
        <v xml:space="preserve"> Design of a Landscape Resilience Fund to support resilience-enhancing land use by farmers and producers’ organizations;</v>
      </c>
      <c r="C35" s="166"/>
      <c r="D35" s="164" t="s">
        <v>675</v>
      </c>
      <c r="E35" s="164" t="s">
        <v>675</v>
      </c>
      <c r="F35" s="164" t="s">
        <v>675</v>
      </c>
      <c r="G35" s="164" t="s">
        <v>675</v>
      </c>
      <c r="H35" s="166"/>
      <c r="I35" s="166"/>
      <c r="J35" s="107"/>
    </row>
    <row r="36" spans="1:10" s="80" customFormat="1" ht="21.75" customHeight="1">
      <c r="A36" s="108" t="str">
        <f>'[1]4. Budget'!A37</f>
        <v xml:space="preserve">3.2.4: </v>
      </c>
      <c r="B36" s="109" t="str">
        <f>'[1]4. Budget'!B37</f>
        <v xml:space="preserve"> Formal legal establishment of the Landscape Resilience Fund;</v>
      </c>
      <c r="C36" s="164" t="s">
        <v>675</v>
      </c>
      <c r="D36" s="164" t="s">
        <v>675</v>
      </c>
      <c r="E36" s="164" t="s">
        <v>675</v>
      </c>
      <c r="F36" s="164" t="s">
        <v>675</v>
      </c>
      <c r="G36" s="164" t="s">
        <v>675</v>
      </c>
      <c r="H36" s="164" t="s">
        <v>675</v>
      </c>
      <c r="I36" s="164" t="s">
        <v>675</v>
      </c>
      <c r="J36" s="107"/>
    </row>
    <row r="37" spans="1:10" s="80" customFormat="1" ht="21.75" customHeight="1">
      <c r="A37" s="108" t="str">
        <f>'[1]4. Budget'!A38</f>
        <v xml:space="preserve">3.2.5: </v>
      </c>
      <c r="B37" s="160" t="str">
        <f>'[1]4. Budget'!B38</f>
        <v xml:space="preserve"> Elaboration of communication strategy and materials, and dissemination.</v>
      </c>
      <c r="C37" s="164" t="s">
        <v>675</v>
      </c>
      <c r="D37" s="164" t="s">
        <v>675</v>
      </c>
      <c r="E37" s="168"/>
      <c r="F37" s="164" t="s">
        <v>675</v>
      </c>
      <c r="G37" s="168"/>
      <c r="H37" s="168"/>
      <c r="I37" s="164" t="s">
        <v>675</v>
      </c>
      <c r="J37" s="107"/>
    </row>
    <row r="38" spans="1:10" s="80" customFormat="1" ht="21.75" customHeight="1">
      <c r="A38" s="162" t="str">
        <f>'[1]4. Budget'!A39</f>
        <v xml:space="preserve">3.3 </v>
      </c>
      <c r="B38" s="469" t="str">
        <f>'[1]4. Budget'!B39</f>
        <v>Strengthen planning, governance and coordination at the landscape level in support of landscape resilience through enhancement of ecosystem services</v>
      </c>
      <c r="C38" s="470"/>
      <c r="D38" s="470"/>
      <c r="E38" s="470"/>
      <c r="F38" s="470"/>
      <c r="G38" s="470"/>
      <c r="H38" s="470"/>
      <c r="I38" s="471"/>
      <c r="J38" s="107"/>
    </row>
    <row r="39" spans="1:10" s="80" customFormat="1" ht="42" customHeight="1">
      <c r="A39" s="108" t="str">
        <f>'[1]4. Budget'!A40</f>
        <v xml:space="preserve">3.3.1: </v>
      </c>
      <c r="B39" s="158" t="str">
        <f>'[1]4. Budget'!B40</f>
        <v xml:space="preserve"> Train 30 senior management staff from 10 local branches of established organizations   (Asociacion Cubana de Tecnicos Agricolas y Forestales - ACTAF, Asociacion Cubana de Produccion Animal - ACPA, As</v>
      </c>
      <c r="C39" s="164" t="s">
        <v>675</v>
      </c>
      <c r="D39" s="164" t="s">
        <v>675</v>
      </c>
      <c r="E39" s="164" t="s">
        <v>675</v>
      </c>
      <c r="F39" s="164" t="s">
        <v>675</v>
      </c>
      <c r="G39" s="164" t="s">
        <v>675</v>
      </c>
      <c r="H39" s="164" t="s">
        <v>675</v>
      </c>
      <c r="I39" s="164" t="s">
        <v>675</v>
      </c>
      <c r="J39" s="107"/>
    </row>
    <row r="40" spans="1:10" s="80" customFormat="1" ht="35.450000000000003" customHeight="1">
      <c r="A40" s="108" t="str">
        <f>'[1]4. Budget'!A41</f>
        <v xml:space="preserve">3.3.2: </v>
      </c>
      <c r="B40" s="109" t="str">
        <f>'[1]4. Budget'!B41</f>
        <v xml:space="preserve"> Multi-level review and analysis of landscape resilience policies and planning instruments as a framework for adaptive landscape management;</v>
      </c>
      <c r="C40" s="164" t="s">
        <v>675</v>
      </c>
      <c r="D40" s="164" t="s">
        <v>675</v>
      </c>
      <c r="E40" s="164" t="s">
        <v>675</v>
      </c>
      <c r="F40" s="164" t="s">
        <v>675</v>
      </c>
      <c r="G40" s="164" t="s">
        <v>675</v>
      </c>
      <c r="H40" s="166"/>
      <c r="I40" s="166"/>
      <c r="J40" s="107"/>
    </row>
    <row r="41" spans="1:10" s="80" customFormat="1" ht="34.35" customHeight="1">
      <c r="A41" s="108" t="str">
        <f>'[1]4. Budget'!A42</f>
        <v xml:space="preserve">3.3.3: </v>
      </c>
      <c r="B41" s="109" t="str">
        <f>'[1]4. Budget'!B42</f>
        <v xml:space="preserve"> Fifteen workshops to strengthen coordination in local landscape governance structures for climate change adaptation: Comision de Reforestacion, Grupo de Bahia, Comision de Cuencas Hidrograficas, Comi</v>
      </c>
      <c r="C41" s="164" t="s">
        <v>675</v>
      </c>
      <c r="D41" s="164" t="s">
        <v>675</v>
      </c>
      <c r="E41" s="164" t="s">
        <v>675</v>
      </c>
      <c r="F41" s="164" t="s">
        <v>675</v>
      </c>
      <c r="G41" s="164" t="s">
        <v>675</v>
      </c>
      <c r="H41" s="164" t="s">
        <v>675</v>
      </c>
      <c r="I41" s="164" t="s">
        <v>675</v>
      </c>
      <c r="J41" s="107"/>
    </row>
    <row r="42" spans="1:10" s="80" customFormat="1" ht="22.7" customHeight="1">
      <c r="A42" s="461" t="s">
        <v>634</v>
      </c>
      <c r="B42" s="462"/>
      <c r="C42" s="164" t="s">
        <v>675</v>
      </c>
      <c r="D42" s="164" t="s">
        <v>675</v>
      </c>
      <c r="E42" s="164" t="s">
        <v>675</v>
      </c>
      <c r="F42" s="164" t="s">
        <v>675</v>
      </c>
      <c r="G42" s="164" t="s">
        <v>675</v>
      </c>
      <c r="H42" s="164" t="s">
        <v>675</v>
      </c>
      <c r="I42" s="164" t="s">
        <v>675</v>
      </c>
      <c r="J42" s="107"/>
    </row>
    <row r="43" spans="1:10" ht="18.600000000000001">
      <c r="A43" s="461" t="s">
        <v>635</v>
      </c>
      <c r="B43" s="462"/>
      <c r="C43" s="164" t="s">
        <v>675</v>
      </c>
      <c r="D43" s="164" t="s">
        <v>675</v>
      </c>
      <c r="E43" s="164" t="s">
        <v>675</v>
      </c>
      <c r="F43" s="164" t="s">
        <v>675</v>
      </c>
      <c r="G43" s="164" t="s">
        <v>675</v>
      </c>
      <c r="H43" s="164" t="s">
        <v>675</v>
      </c>
      <c r="I43" s="164" t="s">
        <v>675</v>
      </c>
    </row>
    <row r="46" spans="1:10" ht="15" customHeight="1"/>
    <row r="48" spans="1:10">
      <c r="A48" s="36"/>
    </row>
    <row r="49" spans="1:1">
      <c r="A49" s="36"/>
    </row>
    <row r="50" spans="1:1">
      <c r="A50" s="36"/>
    </row>
    <row r="51" spans="1:1">
      <c r="A51" s="36"/>
    </row>
  </sheetData>
  <mergeCells count="14">
    <mergeCell ref="A43:B43"/>
    <mergeCell ref="A1:I1"/>
    <mergeCell ref="A2:B2"/>
    <mergeCell ref="A3:I3"/>
    <mergeCell ref="B11:I11"/>
    <mergeCell ref="B4:I4"/>
    <mergeCell ref="A42:B42"/>
    <mergeCell ref="A18:I18"/>
    <mergeCell ref="B19:I19"/>
    <mergeCell ref="B23:I23"/>
    <mergeCell ref="B27:I27"/>
    <mergeCell ref="B32:I32"/>
    <mergeCell ref="B38:I38"/>
    <mergeCell ref="A26:I2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a3cd7b71-671d-4139-9a97-5d1a7380fae4">
      <UserInfo>
        <DisplayName/>
        <AccountId xsi:nil="true"/>
        <AccountType/>
      </UserInfo>
    </SharedWithUsers>
    <remarks xmlns="366ae72f-6d51-4737-8f6b-a9169c366b64" xsi:nil="true"/>
    <file_x0020_ xmlns="366ae72f-6d51-4737-8f6b-a9169c366b6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044df423254376167ea649bcc272f5cc">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6becdce9ea10ec71f0fc4e9d2c2947e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BBD5E4-8D01-4FDD-BA5F-5B3BFAD0AEE3}"/>
</file>

<file path=customXml/itemProps2.xml><?xml version="1.0" encoding="utf-8"?>
<ds:datastoreItem xmlns:ds="http://schemas.openxmlformats.org/officeDocument/2006/customXml" ds:itemID="{E6862B39-1FF9-4254-8152-E20C6BA90D95}"/>
</file>

<file path=customXml/itemProps3.xml><?xml version="1.0" encoding="utf-8"?>
<ds:datastoreItem xmlns:ds="http://schemas.openxmlformats.org/officeDocument/2006/customXml" ds:itemID="{C68DF915-0113-4D37-9980-6608002ACB3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DELL</dc:creator>
  <cp:keywords/>
  <dc:description/>
  <cp:lastModifiedBy>jkuklyte@gcfund.org</cp:lastModifiedBy>
  <cp:revision/>
  <dcterms:created xsi:type="dcterms:W3CDTF">2019-10-20T00:34:18Z</dcterms:created>
  <dcterms:modified xsi:type="dcterms:W3CDTF">2020-02-11T02:32:44Z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Order">
    <vt:r8>867800</vt:r8>
  </property>
  <property fmtid="{D5CDD505-2E9C-101B-9397-08002B2CF9AE}" pid="4" name="ComplianceAssetId">
    <vt:lpwstr/>
  </property>
</Properties>
</file>