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66925"/>
  <mc:AlternateContent xmlns:mc="http://schemas.openxmlformats.org/markup-compatibility/2006">
    <mc:Choice Requires="x15">
      <x15ac:absPath xmlns:x15ac="http://schemas.microsoft.com/office/spreadsheetml/2010/11/ac" url="C:\Users\Krishani\Desktop\Annexures\"/>
    </mc:Choice>
  </mc:AlternateContent>
  <xr:revisionPtr revIDLastSave="0" documentId="13_ncr:1_{91046391-DBE9-425F-872F-8AA47F8A7668}" xr6:coauthVersionLast="45" xr6:coauthVersionMax="45" xr10:uidLastSave="{00000000-0000-0000-0000-000000000000}"/>
  <bookViews>
    <workbookView xWindow="-20610" yWindow="-120" windowWidth="20730" windowHeight="11160" tabRatio="617" xr2:uid="{00000000-000D-0000-FFFF-FFFF00000000}"/>
  </bookViews>
  <sheets>
    <sheet name="SAMPLE" sheetId="23" r:id="rId1"/>
    <sheet name="Economic Analysis" sheetId="20" r:id="rId2"/>
    <sheet name="Costs" sheetId="2" r:id="rId3"/>
    <sheet name="Benefits" sheetId="3" r:id="rId4"/>
    <sheet name="Reduction of sediment" sheetId="4" r:id="rId5"/>
    <sheet name="Streamside Protection" sheetId="8" r:id="rId6"/>
    <sheet name="Agriculture increase" sheetId="5" r:id="rId7"/>
    <sheet name="Run off water usage " sheetId="9" r:id="rId8"/>
    <sheet name="Planned Landscape" sheetId="15" r:id="rId9"/>
    <sheet name="Value Chain " sheetId="6" r:id="rId10"/>
    <sheet name="Weather forecasting capacity" sheetId="7" r:id="rId11"/>
    <sheet name="Additional employment" sheetId="26" r:id="rId12"/>
    <sheet name="Tanks and Ponds" sheetId="10" r:id="rId13"/>
    <sheet name="Community forestry " sheetId="13" r:id="rId14"/>
    <sheet name="Income from conservation" sheetId="24" r:id="rId15"/>
    <sheet name="Eco Tourism" sheetId="25" r:id="rId16"/>
    <sheet name="Green Agriculture Benefits" sheetId="17" r:id="rId17"/>
    <sheet name="Sheet5" sheetId="22" r:id="rId18"/>
    <sheet name="Sheet4" sheetId="21"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2" i="26" l="1"/>
  <c r="H33" i="26" s="1"/>
  <c r="H25" i="26"/>
  <c r="H26" i="26" s="1"/>
  <c r="H17" i="26"/>
  <c r="H18" i="26" s="1"/>
  <c r="H9" i="26"/>
  <c r="H10" i="26" s="1"/>
  <c r="D21" i="7"/>
  <c r="H37" i="26" l="1"/>
  <c r="D22" i="7"/>
  <c r="D23" i="7" l="1"/>
  <c r="G4" i="25"/>
  <c r="H6" i="24"/>
  <c r="F11" i="13"/>
  <c r="F12" i="13" s="1"/>
  <c r="F13" i="13" s="1"/>
  <c r="I10" i="15"/>
  <c r="I9" i="15"/>
  <c r="I6" i="15"/>
  <c r="I7" i="15" s="1"/>
  <c r="I8" i="15" s="1"/>
  <c r="I11" i="15"/>
  <c r="H10" i="5"/>
  <c r="J10" i="5" s="1"/>
  <c r="K10" i="5" s="1"/>
  <c r="D32" i="21" l="1"/>
  <c r="J7" i="10"/>
  <c r="G5" i="9"/>
  <c r="H126" i="20"/>
  <c r="E126" i="20"/>
  <c r="G124" i="20"/>
  <c r="G123" i="20"/>
  <c r="G122" i="20"/>
  <c r="G121" i="20"/>
  <c r="G120" i="20"/>
  <c r="G119" i="20"/>
  <c r="G118" i="20"/>
  <c r="G117" i="20"/>
  <c r="G116" i="20"/>
  <c r="G115" i="20"/>
  <c r="G114" i="20"/>
  <c r="G113" i="20"/>
  <c r="G112" i="20"/>
  <c r="G111" i="20"/>
  <c r="G110" i="20"/>
  <c r="G109" i="20"/>
  <c r="G108" i="20"/>
  <c r="G107" i="20"/>
  <c r="G106" i="20"/>
  <c r="F104" i="20"/>
  <c r="G63" i="20"/>
  <c r="F63" i="20"/>
  <c r="E50" i="20"/>
  <c r="X49" i="20"/>
  <c r="W49" i="20"/>
  <c r="V49" i="20"/>
  <c r="U49" i="20"/>
  <c r="T49" i="20"/>
  <c r="S49" i="20"/>
  <c r="R49" i="20"/>
  <c r="Q49" i="20"/>
  <c r="P49" i="20"/>
  <c r="O49" i="20"/>
  <c r="N49" i="20"/>
  <c r="M49" i="20"/>
  <c r="L49" i="20"/>
  <c r="K49" i="20"/>
  <c r="J49" i="20"/>
  <c r="I49" i="20"/>
  <c r="H49" i="20"/>
  <c r="G49" i="20"/>
  <c r="F49" i="20"/>
  <c r="C49" i="20"/>
  <c r="X29" i="20"/>
  <c r="X30" i="20" s="1"/>
  <c r="W29" i="20"/>
  <c r="W30" i="20" s="1"/>
  <c r="V29" i="20"/>
  <c r="V30" i="20" s="1"/>
  <c r="U29" i="20"/>
  <c r="U30" i="20" s="1"/>
  <c r="T29" i="20"/>
  <c r="T30" i="20" s="1"/>
  <c r="S29" i="20"/>
  <c r="S30" i="20" s="1"/>
  <c r="R29" i="20"/>
  <c r="R30" i="20" s="1"/>
  <c r="Q29" i="20"/>
  <c r="Q30" i="20" s="1"/>
  <c r="P29" i="20"/>
  <c r="P30" i="20" s="1"/>
  <c r="O29" i="20"/>
  <c r="O30" i="20" s="1"/>
  <c r="N29" i="20"/>
  <c r="N30" i="20" s="1"/>
  <c r="M29" i="20"/>
  <c r="M30" i="20" s="1"/>
  <c r="L29" i="20"/>
  <c r="L30" i="20" s="1"/>
  <c r="K29" i="20"/>
  <c r="K30" i="20" s="1"/>
  <c r="J29" i="20"/>
  <c r="J30" i="20" s="1"/>
  <c r="I29" i="20"/>
  <c r="I30" i="20" s="1"/>
  <c r="H29" i="20"/>
  <c r="H30" i="20" s="1"/>
  <c r="G29" i="20"/>
  <c r="G30" i="20" s="1"/>
  <c r="F29" i="20"/>
  <c r="E29" i="20"/>
  <c r="E51" i="20" s="1"/>
  <c r="C29" i="20"/>
  <c r="C30" i="20" s="1"/>
  <c r="E30" i="20" l="1"/>
  <c r="K51" i="20"/>
  <c r="O51" i="20"/>
  <c r="S51" i="20"/>
  <c r="W51" i="20"/>
  <c r="K52" i="20"/>
  <c r="O52" i="20"/>
  <c r="S52" i="20"/>
  <c r="W52" i="20"/>
  <c r="K50" i="20"/>
  <c r="K54" i="20" s="1"/>
  <c r="S50" i="20"/>
  <c r="S54" i="20" s="1"/>
  <c r="E63" i="20"/>
  <c r="O50" i="20"/>
  <c r="O53" i="20" s="1"/>
  <c r="W50" i="20"/>
  <c r="W54" i="20" s="1"/>
  <c r="G51" i="20"/>
  <c r="C66" i="20"/>
  <c r="E66" i="20" s="1"/>
  <c r="G52" i="20"/>
  <c r="C64" i="20"/>
  <c r="G50" i="20"/>
  <c r="G54" i="20" s="1"/>
  <c r="C61" i="20"/>
  <c r="C74" i="20"/>
  <c r="E74" i="20" s="1"/>
  <c r="F30" i="20"/>
  <c r="C75" i="20"/>
  <c r="F75" i="20" s="1"/>
  <c r="G75" i="20" s="1"/>
  <c r="C67" i="20"/>
  <c r="F67" i="20" s="1"/>
  <c r="H52" i="20"/>
  <c r="J52" i="20"/>
  <c r="L52" i="20"/>
  <c r="N52" i="20"/>
  <c r="P52" i="20"/>
  <c r="E75" i="20"/>
  <c r="E67" i="20"/>
  <c r="G67" i="20" s="1"/>
  <c r="E52" i="20"/>
  <c r="I52" i="20"/>
  <c r="M52" i="20"/>
  <c r="Q52" i="20"/>
  <c r="U52" i="20"/>
  <c r="R52" i="20"/>
  <c r="T52" i="20"/>
  <c r="V52" i="20"/>
  <c r="X52" i="20"/>
  <c r="I50" i="20"/>
  <c r="M50" i="20"/>
  <c r="Q50" i="20"/>
  <c r="U50" i="20"/>
  <c r="I51" i="20"/>
  <c r="M51" i="20"/>
  <c r="Q51" i="20"/>
  <c r="U51" i="20"/>
  <c r="E53" i="20"/>
  <c r="E54" i="20"/>
  <c r="C59" i="20"/>
  <c r="G126" i="20"/>
  <c r="F50" i="20"/>
  <c r="H50" i="20"/>
  <c r="J50" i="20"/>
  <c r="L50" i="20"/>
  <c r="N50" i="20"/>
  <c r="P50" i="20"/>
  <c r="R50" i="20"/>
  <c r="T50" i="20"/>
  <c r="V50" i="20"/>
  <c r="X50" i="20"/>
  <c r="F51" i="20"/>
  <c r="H51" i="20"/>
  <c r="J51" i="20"/>
  <c r="L51" i="20"/>
  <c r="N51" i="20"/>
  <c r="P51" i="20"/>
  <c r="R51" i="20"/>
  <c r="T51" i="20"/>
  <c r="V51" i="20"/>
  <c r="X51" i="20"/>
  <c r="F52" i="20"/>
  <c r="C60" i="20"/>
  <c r="C63" i="20"/>
  <c r="E69" i="20" l="1"/>
  <c r="D85" i="20" s="1"/>
  <c r="E76" i="20"/>
  <c r="G85" i="20" s="1"/>
  <c r="K53" i="20"/>
  <c r="E68" i="20"/>
  <c r="E85" i="20" s="1"/>
  <c r="E77" i="20"/>
  <c r="F85" i="20" s="1"/>
  <c r="S53" i="20"/>
  <c r="O54" i="20"/>
  <c r="C77" i="20"/>
  <c r="F84" i="20" s="1"/>
  <c r="W53" i="20"/>
  <c r="G74" i="20"/>
  <c r="G76" i="20" s="1"/>
  <c r="G87" i="20" s="1"/>
  <c r="G53" i="20"/>
  <c r="C69" i="20"/>
  <c r="D84" i="20" s="1"/>
  <c r="C70" i="20"/>
  <c r="C76" i="20"/>
  <c r="G84" i="20" s="1"/>
  <c r="C68" i="20"/>
  <c r="E84" i="20" s="1"/>
  <c r="Q54" i="20"/>
  <c r="Q53" i="20"/>
  <c r="I54" i="20"/>
  <c r="I53" i="20"/>
  <c r="E78" i="20"/>
  <c r="H85" i="20" s="1"/>
  <c r="E70" i="20"/>
  <c r="C78" i="20"/>
  <c r="H84" i="20" s="1"/>
  <c r="X54" i="20"/>
  <c r="X53" i="20"/>
  <c r="T54" i="20"/>
  <c r="T53" i="20"/>
  <c r="P54" i="20"/>
  <c r="P53" i="20"/>
  <c r="L54" i="20"/>
  <c r="L53" i="20"/>
  <c r="H54" i="20"/>
  <c r="H53" i="20"/>
  <c r="V54" i="20"/>
  <c r="V53" i="20"/>
  <c r="R54" i="20"/>
  <c r="R53" i="20"/>
  <c r="N54" i="20"/>
  <c r="N53" i="20"/>
  <c r="J54" i="20"/>
  <c r="J53" i="20"/>
  <c r="F54" i="20"/>
  <c r="F53" i="20"/>
  <c r="F66" i="20"/>
  <c r="U54" i="20"/>
  <c r="U53" i="20"/>
  <c r="M54" i="20"/>
  <c r="M53" i="20"/>
  <c r="G77" i="20"/>
  <c r="F87" i="20" s="1"/>
  <c r="F74" i="20"/>
  <c r="F78" i="20" l="1"/>
  <c r="H86" i="20" s="1"/>
  <c r="G70" i="20"/>
  <c r="F77" i="20"/>
  <c r="F86" i="20" s="1"/>
  <c r="F76" i="20"/>
  <c r="G86" i="20" s="1"/>
  <c r="G78" i="20"/>
  <c r="H87" i="20" s="1"/>
  <c r="G66" i="20"/>
  <c r="F69" i="20"/>
  <c r="D86" i="20" s="1"/>
  <c r="F68" i="20"/>
  <c r="E86" i="20" s="1"/>
  <c r="F70" i="20"/>
  <c r="G69" i="20" l="1"/>
  <c r="D87" i="20" s="1"/>
  <c r="G68" i="20"/>
  <c r="E87" i="20" s="1"/>
  <c r="H8" i="6"/>
  <c r="H4" i="4"/>
  <c r="I4" i="17" l="1"/>
  <c r="J6" i="10" l="1"/>
  <c r="J8" i="10"/>
  <c r="G7" i="9"/>
  <c r="G8" i="9" s="1"/>
  <c r="G9" i="9" s="1"/>
  <c r="G10" i="9" s="1"/>
  <c r="H6" i="8"/>
</calcChain>
</file>

<file path=xl/sharedStrings.xml><?xml version="1.0" encoding="utf-8"?>
<sst xmlns="http://schemas.openxmlformats.org/spreadsheetml/2006/main" count="288" uniqueCount="234">
  <si>
    <t>Economic Cost Benefit Analysis (figures in USD Mn)</t>
  </si>
  <si>
    <t>Activity</t>
  </si>
  <si>
    <t>Full Cost/Pay Back (USD Mn)</t>
  </si>
  <si>
    <t>Change % (sensitivity)</t>
  </si>
  <si>
    <t>Cost Stream</t>
  </si>
  <si>
    <t xml:space="preserve">Component wise activities </t>
  </si>
  <si>
    <t>1.1.1 Streamside protection and drainage management along roads</t>
  </si>
  <si>
    <t xml:space="preserve">1.1.2 Rehabilitation and establishment of village tanks, ponds and irrigation networks  </t>
  </si>
  <si>
    <t xml:space="preserve">1.1.3: Restoration of forest mosaic landscapes   </t>
  </si>
  <si>
    <t xml:space="preserve">1.2.1 Increasing cropping intensity of irrigated rice in both upstream and downstream areas     </t>
  </si>
  <si>
    <t>1.2.2: Sustainable intensification of smallholder production</t>
  </si>
  <si>
    <t>1.2.3: Restoration and sustainable intensification of plantations</t>
  </si>
  <si>
    <t>2.1.1: Domestic value chain mapping and green market assessments for products especially from small holder and subsistence farmers</t>
  </si>
  <si>
    <t>2.1.2: Enterprise and institutional development to exploit green growth opportunities for small holder farmers in the uplands</t>
  </si>
  <si>
    <t xml:space="preserve">2.1.3: Identification and implementation of value chain upgrading options </t>
  </si>
  <si>
    <t>2.2.1: A portfolio of business cases for negotiating performance-based financial transfer mechanisms</t>
  </si>
  <si>
    <t xml:space="preserve">2.2.2: A PES intermediary body as a part of the multi-stakeholder platform, and its governance system established </t>
  </si>
  <si>
    <t>2.2.3: A monitoring system for PES schemes in the upstream catchment area</t>
  </si>
  <si>
    <t>3.1.1: Develop an integrated land use policy and planning mechanism at sub-basin scale</t>
  </si>
  <si>
    <t>3.1.2 Develop a shared information system to support land use planning, climate adaptation, market information and monitoring of the performance</t>
  </si>
  <si>
    <t>3.1.3: Development and refinement of an options by context framework for SLM and sustainable intensification</t>
  </si>
  <si>
    <t xml:space="preserve">3.2.1: Establishment of nested-scale multi-stakeholder innovation platforms from sub-basin to GN scale </t>
  </si>
  <si>
    <t xml:space="preserve">3.2.2: Training in methods and tools for adaptive and participatory co-design of adaptation options </t>
  </si>
  <si>
    <t>3.2.3: Development of simple to use guidelines, manuals and tools for matching options to context and implementing SLM, sustainable intensification and value</t>
  </si>
  <si>
    <t>Project Cost</t>
  </si>
  <si>
    <t>Total Cost</t>
  </si>
  <si>
    <t xml:space="preserve">Costs increased by 10% </t>
  </si>
  <si>
    <t>Benefit Stream (20 years life time)</t>
  </si>
  <si>
    <t>Total Benefits</t>
  </si>
  <si>
    <t>Benefits reduced by 10%</t>
  </si>
  <si>
    <t xml:space="preserve">Net Benefits Base case </t>
  </si>
  <si>
    <t>Net Benefits - Costs overun by 10%</t>
  </si>
  <si>
    <t>Net Benefits - Benfits lowered by 10%</t>
  </si>
  <si>
    <t>Net Benefits - costs overun by 10% + benfits Lowered by 10%</t>
  </si>
  <si>
    <t>Total Benefits for 15 years</t>
  </si>
  <si>
    <t xml:space="preserve">NOT REQUIRED </t>
  </si>
  <si>
    <t xml:space="preserve">YELLOW HIGHLIGTS CAN BE REMOVED </t>
  </si>
  <si>
    <t>Total Benefits for 20 years</t>
  </si>
  <si>
    <t>Total Benefits within project period (06)</t>
  </si>
  <si>
    <t xml:space="preserve">THIS IS NOT REQUIRED </t>
  </si>
  <si>
    <t>NPV of Total Benefits (20 years)</t>
  </si>
  <si>
    <t xml:space="preserve">INACCURATE </t>
  </si>
  <si>
    <t>NPV of Total Benefits during project period</t>
  </si>
  <si>
    <t>Discount rate 6%</t>
  </si>
  <si>
    <t xml:space="preserve">Base case </t>
  </si>
  <si>
    <t>cost by 10%</t>
  </si>
  <si>
    <t>benfits 10%</t>
  </si>
  <si>
    <t>cross sensitivity</t>
  </si>
  <si>
    <t>Present Value Benefits</t>
  </si>
  <si>
    <t xml:space="preserve">Present Value Costs </t>
  </si>
  <si>
    <t>BC Ratio</t>
  </si>
  <si>
    <t>NPV</t>
  </si>
  <si>
    <t xml:space="preserve">IRR </t>
  </si>
  <si>
    <t>Discount rate 10%</t>
  </si>
  <si>
    <t>Discount rate of 6%</t>
  </si>
  <si>
    <t>Discount rate of 10%</t>
  </si>
  <si>
    <t>IRR</t>
  </si>
  <si>
    <t>BC</t>
  </si>
  <si>
    <t>Base case</t>
  </si>
  <si>
    <t>Cost by 10%</t>
  </si>
  <si>
    <t>Benefits by 10%</t>
  </si>
  <si>
    <t>Cross sensitivity</t>
  </si>
  <si>
    <t>Notes:</t>
  </si>
  <si>
    <t>1. Plan of yearly disbursement %. Three models will be used as follows</t>
  </si>
  <si>
    <t>1.a. The activities require more investment in the initial years and gradually scaled down closer to program exit, the yearly ratios (Yn) will be Y1= 10%, Y2 = 20%, Y3 = 30%, Y4 = 20%, Y5 = 10% , Y6 = 10%</t>
  </si>
  <si>
    <t>1.b. The activities require more investment in the initial years and rapidly completed before the program exit, the yearly ratios (Yn) will be Y1= 10%, Y2 = 40%, Y3 = 40%, Y4 = 10%</t>
  </si>
  <si>
    <t>1.c. The activities require less investment in the initial years and gradually increased towards program exit, the yearly ratios (Yn) will be Y1= 10%, Y2 = 10%, Y3 = 20%, Y4 = 30%, Y5 = 20% , Y6 = 10%</t>
  </si>
  <si>
    <t>Y</t>
  </si>
  <si>
    <t>Base</t>
  </si>
  <si>
    <t>Cost increase 10%</t>
  </si>
  <si>
    <t>Benefits decrease by 10%</t>
  </si>
  <si>
    <t>cost increase 10% benefits decrease 10%</t>
  </si>
  <si>
    <t xml:space="preserve">remove </t>
  </si>
  <si>
    <t>Year</t>
  </si>
  <si>
    <t>Erosion and sediment prevention (USD Mn)</t>
  </si>
  <si>
    <t>Water management and agriculture support for subsistance and downstream farmers
(USD Mn)</t>
  </si>
  <si>
    <t>Value chain upgrade to support subsistance farmers
(USD Mn)</t>
  </si>
  <si>
    <t>Strengthening Communty Based Organizations
(USD Mn)</t>
  </si>
  <si>
    <t>Value chain upgrade to support subsistance farmers  
(USD Mn)</t>
  </si>
  <si>
    <t>Forest conservation and community forestry and Tourism Development
(USD Mn)</t>
  </si>
  <si>
    <t>Area benefited</t>
  </si>
  <si>
    <t xml:space="preserve">Annual generated economic benefits USD per ha </t>
  </si>
  <si>
    <t>USD</t>
  </si>
  <si>
    <t xml:space="preserve">Number of familes </t>
  </si>
  <si>
    <t xml:space="preserve">total </t>
  </si>
  <si>
    <t>Amount of minimum addiitonal income generated per annum by a family</t>
  </si>
  <si>
    <t xml:space="preserve">Number of KM </t>
  </si>
  <si>
    <t>Expected generated economic value</t>
  </si>
  <si>
    <r>
      <t>No of KM</t>
    </r>
    <r>
      <rPr>
        <vertAlign val="superscript"/>
        <sz val="11"/>
        <color theme="1"/>
        <rFont val="Calibri"/>
        <family val="2"/>
        <scheme val="minor"/>
      </rPr>
      <t>2</t>
    </r>
  </si>
  <si>
    <r>
      <t>Generated water per km</t>
    </r>
    <r>
      <rPr>
        <vertAlign val="superscript"/>
        <sz val="11"/>
        <color theme="1"/>
        <rFont val="Calibri"/>
        <family val="2"/>
        <scheme val="minor"/>
      </rPr>
      <t>2</t>
    </r>
    <r>
      <rPr>
        <sz val="11"/>
        <color theme="1"/>
        <rFont val="Calibri"/>
        <family val="2"/>
        <scheme val="minor"/>
      </rPr>
      <t xml:space="preserve"> per second</t>
    </r>
  </si>
  <si>
    <t>liters</t>
  </si>
  <si>
    <t>Amount of water generated from 1 hour rain</t>
  </si>
  <si>
    <t xml:space="preserve">Average number of rainy days per year </t>
  </si>
  <si>
    <t>Total run off water in Mathale</t>
  </si>
  <si>
    <t>Economic cost</t>
  </si>
  <si>
    <t>LKR</t>
  </si>
  <si>
    <t>Number of water units (as per the water authority)</t>
  </si>
  <si>
    <t>No of structures to be rehabilitated</t>
  </si>
  <si>
    <t>number of families benefited</t>
  </si>
  <si>
    <t>Number of hours saved by women due to provision of water</t>
  </si>
  <si>
    <t>per day</t>
  </si>
  <si>
    <t>Number of hours saved in a year</t>
  </si>
  <si>
    <t>Economic Value for 5000 families</t>
  </si>
  <si>
    <t>Number of minimum export crops</t>
  </si>
  <si>
    <t>Annual average Country Production of export crops for 04 crops</t>
  </si>
  <si>
    <t>MT</t>
  </si>
  <si>
    <t>Number of hectares for 4 crops</t>
  </si>
  <si>
    <t>MT per hectare</t>
  </si>
  <si>
    <t>Exclude intercropping factor</t>
  </si>
  <si>
    <t>Plantation hectare (minimum)</t>
  </si>
  <si>
    <t>Economic value (average export earning from 150 MT)</t>
  </si>
  <si>
    <t>MT underFull extent</t>
  </si>
  <si>
    <t>MT under partial extent</t>
  </si>
  <si>
    <t>Number of Business entities registered</t>
  </si>
  <si>
    <t xml:space="preserve">Minimum annual export income </t>
  </si>
  <si>
    <t>Number of village benefited (minimum)</t>
  </si>
  <si>
    <t>Cost/Co financing 
(USD Mn)</t>
  </si>
  <si>
    <t>Cost Benefit Stream 1. Erosion and Sediment Prevention</t>
  </si>
  <si>
    <t>Cost Benefit Stream 2. Water Management and Agriculture</t>
  </si>
  <si>
    <t>Benefit Stream 3. Value Chain Upgrade</t>
  </si>
  <si>
    <t xml:space="preserve">Benefit Stream 4. Forest Conservation, Community Forestry and Tourism </t>
  </si>
  <si>
    <t>Benefit Stream 5. CBO Strengthening</t>
  </si>
  <si>
    <t>Benefit Stream (Economic)</t>
  </si>
  <si>
    <t>Sub-benefit stream</t>
  </si>
  <si>
    <t>Worksheet(s)</t>
  </si>
  <si>
    <t>Results Match?</t>
  </si>
  <si>
    <t>Note</t>
  </si>
  <si>
    <r>
      <t>Benefit Stream 1</t>
    </r>
    <r>
      <rPr>
        <sz val="10"/>
        <color rgb="FF000000"/>
        <rFont val="Arial"/>
        <family val="2"/>
      </rPr>
      <t>: Reducing the impact of erosion and sediment on major reservoirs benefiting smallholder farmers to obtain the maximum usage of public investments</t>
    </r>
  </si>
  <si>
    <r>
      <t xml:space="preserve">1a: </t>
    </r>
    <r>
      <rPr>
        <sz val="10"/>
        <color rgb="FF000000"/>
        <rFont val="Arial"/>
        <family val="2"/>
      </rPr>
      <t>Reduction of sediment loads to reservoirs and tanks</t>
    </r>
  </si>
  <si>
    <t>'Siltation reduction'</t>
  </si>
  <si>
    <t>Yes</t>
  </si>
  <si>
    <t>What is the basis for the estimated $50,000 savings from the government budget?</t>
  </si>
  <si>
    <r>
      <t xml:space="preserve">1b: </t>
    </r>
    <r>
      <rPr>
        <sz val="10"/>
        <color rgb="FF000000"/>
        <rFont val="Arial"/>
        <family val="2"/>
      </rPr>
      <t>Income through streamside protection</t>
    </r>
  </si>
  <si>
    <t>'Streamside plantation'</t>
  </si>
  <si>
    <t>What is the basis for the estimate of $50/km?</t>
  </si>
  <si>
    <r>
      <t>Benefit Stream 2</t>
    </r>
    <r>
      <rPr>
        <sz val="10"/>
        <color rgb="FF000000"/>
        <rFont val="Arial"/>
        <family val="2"/>
      </rPr>
      <t>: Water management and agriculture support for subsistence and downstream farmers for better productivity and to cope with climate induced economic damages</t>
    </r>
  </si>
  <si>
    <r>
      <t xml:space="preserve">2c: </t>
    </r>
    <r>
      <rPr>
        <sz val="10"/>
        <color rgb="FF000000"/>
        <rFont val="Arial"/>
        <family val="2"/>
      </rPr>
      <t xml:space="preserve">Adoption of best practices leading to higher crop intensity </t>
    </r>
  </si>
  <si>
    <t> 'Agriculture increase'?</t>
  </si>
  <si>
    <t>No</t>
  </si>
  <si>
    <t>Summary = 4</t>
  </si>
  <si>
    <t>Model = 7.22</t>
  </si>
  <si>
    <t>Worksheet assumed based on title, but data does not match the estimate in Annex 3a.</t>
  </si>
  <si>
    <r>
      <t xml:space="preserve">2d: </t>
    </r>
    <r>
      <rPr>
        <sz val="10"/>
        <color rgb="FF000000"/>
        <rFont val="Arial"/>
        <family val="2"/>
      </rPr>
      <t>Rainwater harvesting through roadside drainage management</t>
    </r>
  </si>
  <si>
    <t>'Run off water usage'</t>
  </si>
  <si>
    <t>OK</t>
  </si>
  <si>
    <r>
      <t xml:space="preserve">2e: </t>
    </r>
    <r>
      <rPr>
        <sz val="10"/>
        <color rgb="FF000000"/>
        <rFont val="Arial"/>
        <family val="2"/>
      </rPr>
      <t>Planned landscape and land use approaches to enhance area income</t>
    </r>
  </si>
  <si>
    <t>'intercropping and plantation'?</t>
  </si>
  <si>
    <r>
      <t xml:space="preserve">2f: </t>
    </r>
    <r>
      <rPr>
        <sz val="10"/>
        <color rgb="FF000000"/>
        <rFont val="Arial"/>
        <family val="2"/>
      </rPr>
      <t>Additional surface and ground water storage through tank rehabilitation</t>
    </r>
  </si>
  <si>
    <t>'Tanks and ponds'</t>
  </si>
  <si>
    <r>
      <t xml:space="preserve">Benefit Stream 3: </t>
    </r>
    <r>
      <rPr>
        <sz val="10"/>
        <color rgb="FF000000"/>
        <rFont val="Arial"/>
        <family val="2"/>
      </rPr>
      <t xml:space="preserve">Upgrading of the value chain to support subsistence farmers </t>
    </r>
  </si>
  <si>
    <r>
      <t xml:space="preserve">3g: </t>
    </r>
    <r>
      <rPr>
        <sz val="10"/>
        <color rgb="FF000000"/>
        <rFont val="Arial"/>
        <family val="2"/>
      </rPr>
      <t>Value chain development</t>
    </r>
  </si>
  <si>
    <t xml:space="preserve">'Value Chain' </t>
  </si>
  <si>
    <t>What is the basis for the estimated $250 additional income generated per family per annum?</t>
  </si>
  <si>
    <r>
      <t xml:space="preserve">3h: </t>
    </r>
    <r>
      <rPr>
        <sz val="10"/>
        <color rgb="FF000000"/>
        <rFont val="Arial"/>
        <family val="2"/>
      </rPr>
      <t>Area based green growth opportunities</t>
    </r>
  </si>
  <si>
    <t>'Green Agriculture Benefits'</t>
  </si>
  <si>
    <t>What is the basis for the estimated additional income from exports?</t>
  </si>
  <si>
    <r>
      <t xml:space="preserve">Benefit Stream 4: </t>
    </r>
    <r>
      <rPr>
        <sz val="10"/>
        <color rgb="FF000000"/>
        <rFont val="Arial"/>
        <family val="2"/>
      </rPr>
      <t>Forest conservation, community forestry and tourism development</t>
    </r>
  </si>
  <si>
    <r>
      <t xml:space="preserve">4i: </t>
    </r>
    <r>
      <rPr>
        <sz val="10"/>
        <color rgb="FF000000"/>
        <rFont val="Arial"/>
        <family val="2"/>
      </rPr>
      <t>Community forestry and mosaics</t>
    </r>
  </si>
  <si>
    <t>'Community forestry'?</t>
  </si>
  <si>
    <t>Summary = 1.5</t>
  </si>
  <si>
    <t>Model = 0.80</t>
  </si>
  <si>
    <t>Numbers match summary (after correcting exchange rate error), but description of benefit does not.</t>
  </si>
  <si>
    <r>
      <t xml:space="preserve">4j: </t>
    </r>
    <r>
      <rPr>
        <sz val="10"/>
        <color rgb="FF000000"/>
        <rFont val="Arial"/>
        <family val="2"/>
      </rPr>
      <t>Enhanced income from conservation activities</t>
    </r>
  </si>
  <si>
    <t>MISSING</t>
  </si>
  <si>
    <t>Annex 3a states a benefit of $200,000 per year, but it is not estimated in the model.</t>
  </si>
  <si>
    <r>
      <t xml:space="preserve">4k: </t>
    </r>
    <r>
      <rPr>
        <sz val="10"/>
        <color rgb="FF000000"/>
        <rFont val="Arial"/>
        <family val="2"/>
      </rPr>
      <t>Eco and nature based tourism</t>
    </r>
  </si>
  <si>
    <t>Annex 3a states a benefit of $500,000 per year, but it is not estimated in the model.</t>
  </si>
  <si>
    <r>
      <t xml:space="preserve">Benefit Stream 5: </t>
    </r>
    <r>
      <rPr>
        <sz val="10"/>
        <color rgb="FF000000"/>
        <rFont val="Arial"/>
        <family val="2"/>
      </rPr>
      <t>Strengthening community-based organizations</t>
    </r>
  </si>
  <si>
    <r>
      <t>5l:</t>
    </r>
    <r>
      <rPr>
        <sz val="10"/>
        <color rgb="FF000000"/>
        <rFont val="Arial"/>
        <family val="2"/>
      </rPr>
      <t xml:space="preserve"> Knowledge improvements</t>
    </r>
  </si>
  <si>
    <t>'Weather forecasting capacity'?</t>
  </si>
  <si>
    <t>Summary = 0.8</t>
  </si>
  <si>
    <t>Model =3.75</t>
  </si>
  <si>
    <r>
      <t>5m:</t>
    </r>
    <r>
      <rPr>
        <sz val="10"/>
        <color rgb="FF000000"/>
        <rFont val="Arial"/>
        <family val="2"/>
      </rPr>
      <t xml:space="preserve"> Additional employment opportunities</t>
    </r>
  </si>
  <si>
    <t>Annex 3a states a benefit of $100,000 per year, but it is not estimated in the model.</t>
  </si>
  <si>
    <t>Average current income (per ha) per month</t>
  </si>
  <si>
    <t>Expected average income per ha per month</t>
  </si>
  <si>
    <t>Marginal income increase (per ha) per month</t>
  </si>
  <si>
    <t>Source</t>
  </si>
  <si>
    <t>Land Area (average) per farmer family(ha)</t>
  </si>
  <si>
    <t>Dept. Agriculture</t>
  </si>
  <si>
    <t>SLCFP</t>
  </si>
  <si>
    <t>GCF Project Target</t>
  </si>
  <si>
    <t>Target farmer families (at least)</t>
  </si>
  <si>
    <t>Marginal increase income per ha per year per farmer family</t>
  </si>
  <si>
    <t xml:space="preserve">Marginal increase income per ha per year </t>
  </si>
  <si>
    <t>Production for 300 ha</t>
  </si>
  <si>
    <t>Non of farmers in Mahtale representing community forestry organizations</t>
  </si>
  <si>
    <t xml:space="preserve">Current benefits of a well manage herbal extraction from forests </t>
  </si>
  <si>
    <t>Expected per farmer per month income from a well manage herbal extraction</t>
  </si>
  <si>
    <t>Expected total farmer per month income from a well manage herbal extraction</t>
  </si>
  <si>
    <t>In USD per month</t>
  </si>
  <si>
    <t>In USD per annum</t>
  </si>
  <si>
    <t>Approximately</t>
  </si>
  <si>
    <t>Source: SLCFP farmer database</t>
  </si>
  <si>
    <t>this is an target income</t>
  </si>
  <si>
    <t>Proposed daily rate for conservation per person</t>
  </si>
  <si>
    <t>expected people to be engaged in conservation</t>
  </si>
  <si>
    <t>farmers</t>
  </si>
  <si>
    <t>expected no of days employed in conservation per year</t>
  </si>
  <si>
    <t xml:space="preserve">total income generated through conservation </t>
  </si>
  <si>
    <t>Who: Selected women from women headed families</t>
  </si>
  <si>
    <t>Toursit arrivals in Knuckles per year</t>
  </si>
  <si>
    <t>Both local and foreign</t>
  </si>
  <si>
    <t>target tourist and sustainble forest product sale per tourst (average)</t>
  </si>
  <si>
    <t>Total product sales per annum</t>
  </si>
  <si>
    <t>USD including food items</t>
  </si>
  <si>
    <t>Source: DesInventar data base of Disaster Management Center</t>
  </si>
  <si>
    <t>IN USD</t>
  </si>
  <si>
    <t>Affected average population per year</t>
  </si>
  <si>
    <t xml:space="preserve">Estimated families </t>
  </si>
  <si>
    <t>compensation per month</t>
  </si>
  <si>
    <t>Assuming 5 members per family</t>
  </si>
  <si>
    <t>Based on Desinventar (DMC) data base affected drought population in 2017 in Mathale</t>
  </si>
  <si>
    <t>USD 700000</t>
  </si>
  <si>
    <t>total saving of accurate climate forecasting and measures to reduce drought per year</t>
  </si>
  <si>
    <t>Treckers/guides (local area)</t>
  </si>
  <si>
    <t xml:space="preserve">No of employment </t>
  </si>
  <si>
    <t>Additional employments generated (expected) in Knuckles Green Listed site</t>
  </si>
  <si>
    <t>Monthly income</t>
  </si>
  <si>
    <t>Per annum</t>
  </si>
  <si>
    <t>in USD</t>
  </si>
  <si>
    <t>Gift shops</t>
  </si>
  <si>
    <t>Communication shops</t>
  </si>
  <si>
    <t>other</t>
  </si>
  <si>
    <t>Total</t>
  </si>
  <si>
    <t>Approx.</t>
  </si>
  <si>
    <t>02 labours'income estimate by completing 01 km excluding material costs</t>
  </si>
  <si>
    <t>this based on project expereince of desiltation programs. LKR 8 mn to 10 mn required for deciltation using machineries per one tank</t>
  </si>
  <si>
    <t>Sources for calculations</t>
  </si>
  <si>
    <t>Statistical Information on Plantation Crops 2012
By Ministry of Plantation</t>
  </si>
  <si>
    <t>Experience of similar type of projects. For example Sri Lanka Community Forestry Program 2012-2016</t>
  </si>
  <si>
    <t xml:space="preserve">In the calculation it was mentioned as the minimum income to be expected. This is by considering the newly established entities will be under the category of micro enterprises. </t>
  </si>
  <si>
    <t>This is only for Knuckles Area as per SLDTA statistics. Entire tourist arrivals for SL exceeds half a million</t>
  </si>
  <si>
    <t>In calculating the number of employments two things have been considered. Those are the existing employment in the Knuckles Conservation Forest related to tourism activities and the plan for future developments through IUCN Green Listing process supports by GCF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</si>
</sst>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font>
    <font>
      <sz val="11"/>
      <color theme="1"/>
      <name val="Calibri"/>
      <family val="2"/>
    </font>
    <font>
      <b/>
      <sz val="11"/>
      <color theme="1"/>
      <name val="Calibri"/>
      <family val="2"/>
    </font>
    <font>
      <b/>
      <u/>
      <sz val="11"/>
      <color theme="1"/>
      <name val="Calibri"/>
      <family val="2"/>
    </font>
    <font>
      <sz val="11"/>
      <name val="Calibri"/>
      <family val="2"/>
    </font>
    <font>
      <sz val="11"/>
      <name val="Calibri"/>
      <family val="2"/>
      <scheme val="minor"/>
    </font>
    <font>
      <b/>
      <sz val="11"/>
      <name val="Calibri"/>
      <family val="2"/>
    </font>
    <font>
      <sz val="11"/>
      <color rgb="FFFF0000"/>
      <name val="Calibri"/>
      <family val="2"/>
    </font>
    <font>
      <b/>
      <sz val="11"/>
      <color rgb="FF000000"/>
      <name val="Calibri"/>
      <family val="2"/>
      <scheme val="minor"/>
    </font>
    <font>
      <sz val="11"/>
      <color rgb="FF000000"/>
      <name val="Calibri"/>
      <family val="2"/>
      <scheme val="minor"/>
    </font>
    <font>
      <sz val="12"/>
      <color rgb="FFFF0000"/>
      <name val="Calibri"/>
      <family val="2"/>
    </font>
    <font>
      <sz val="11"/>
      <color rgb="FFFF0000"/>
      <name val="Calibri"/>
      <family val="2"/>
      <scheme val="minor"/>
    </font>
    <font>
      <vertAlign val="superscript"/>
      <sz val="11"/>
      <color theme="1"/>
      <name val="Calibri"/>
      <family val="2"/>
      <scheme val="minor"/>
    </font>
    <font>
      <b/>
      <sz val="10"/>
      <color rgb="FF000000"/>
      <name val="Arial"/>
      <family val="2"/>
    </font>
    <font>
      <sz val="10"/>
      <color rgb="FF000000"/>
      <name val="Arial"/>
      <family val="2"/>
    </font>
    <font>
      <sz val="10"/>
      <color rgb="FF006100"/>
      <name val="Calibri"/>
      <family val="2"/>
    </font>
    <font>
      <sz val="10"/>
      <color theme="1"/>
      <name val="Calibri"/>
      <family val="2"/>
    </font>
    <font>
      <sz val="10"/>
      <color rgb="FF9C5700"/>
      <name val="Calibri"/>
      <family val="2"/>
    </font>
    <font>
      <sz val="10"/>
      <color rgb="FF9C0006"/>
      <name val="Calibri"/>
      <family val="2"/>
    </font>
    <font>
      <sz val="10"/>
      <color rgb="FF000000"/>
      <name val="Calibri"/>
      <family val="2"/>
    </font>
  </fonts>
  <fills count="11">
    <fill>
      <patternFill patternType="none"/>
    </fill>
    <fill>
      <patternFill patternType="gray125"/>
    </fill>
    <fill>
      <patternFill patternType="solid">
        <fgColor theme="7" tint="0.79998168889431442"/>
        <bgColor indexed="64"/>
      </patternFill>
    </fill>
    <fill>
      <patternFill patternType="solid">
        <fgColor rgb="FFFFC000"/>
        <bgColor indexed="64"/>
      </patternFill>
    </fill>
    <fill>
      <patternFill patternType="solid">
        <fgColor theme="2"/>
        <bgColor indexed="64"/>
      </patternFill>
    </fill>
    <fill>
      <patternFill patternType="solid">
        <fgColor rgb="FFFFFF00"/>
        <bgColor indexed="64"/>
      </patternFill>
    </fill>
    <fill>
      <patternFill patternType="solid">
        <fgColor rgb="FF5B9BD5"/>
        <bgColor indexed="64"/>
      </patternFill>
    </fill>
    <fill>
      <patternFill patternType="solid">
        <fgColor rgb="FFC6EFCE"/>
        <bgColor indexed="64"/>
      </patternFill>
    </fill>
    <fill>
      <patternFill patternType="solid">
        <fgColor rgb="FFFFEB9C"/>
        <bgColor indexed="64"/>
      </patternFill>
    </fill>
    <fill>
      <patternFill patternType="solid">
        <fgColor rgb="FFFFC7CE"/>
        <bgColor indexed="64"/>
      </patternFill>
    </fill>
    <fill>
      <patternFill patternType="solid">
        <fgColor rgb="FFD9D9D9"/>
        <bgColor indexed="64"/>
      </patternFill>
    </fill>
  </fills>
  <borders count="3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ck">
        <color indexed="64"/>
      </top>
      <bottom style="thick">
        <color indexed="64"/>
      </bottom>
      <diagonal/>
    </border>
    <border>
      <left/>
      <right/>
      <top style="thick">
        <color indexed="64"/>
      </top>
      <bottom/>
      <diagonal/>
    </border>
    <border>
      <left style="medium">
        <color indexed="64"/>
      </left>
      <right style="medium">
        <color indexed="64"/>
      </right>
      <top style="medium">
        <color indexed="64"/>
      </top>
      <bottom/>
      <diagonal/>
    </border>
    <border>
      <left style="thick">
        <color indexed="64"/>
      </left>
      <right style="thick">
        <color indexed="64"/>
      </right>
      <top/>
      <bottom style="thick">
        <color rgb="FF000000"/>
      </bottom>
      <diagonal/>
    </border>
    <border>
      <left style="thick">
        <color indexed="64"/>
      </left>
      <right style="thick">
        <color indexed="64"/>
      </right>
      <top/>
      <bottom/>
      <diagonal/>
    </border>
    <border>
      <left/>
      <right style="thick">
        <color indexed="64"/>
      </right>
      <top/>
      <bottom/>
      <diagonal/>
    </border>
    <border>
      <left style="medium">
        <color indexed="64"/>
      </left>
      <right/>
      <top/>
      <bottom style="medium">
        <color rgb="FF000000"/>
      </bottom>
      <diagonal/>
    </border>
    <border>
      <left/>
      <right style="thick">
        <color indexed="64"/>
      </right>
      <top/>
      <bottom style="thick">
        <color indexed="64"/>
      </bottom>
      <diagonal/>
    </border>
    <border>
      <left/>
      <right/>
      <top/>
      <bottom style="thick">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thick">
        <color indexed="64"/>
      </left>
      <right style="thick">
        <color indexed="64"/>
      </right>
      <top style="thick">
        <color indexed="64"/>
      </top>
      <bottom/>
      <diagonal/>
    </border>
    <border>
      <left style="medium">
        <color indexed="64"/>
      </left>
      <right style="medium">
        <color indexed="64"/>
      </right>
      <top/>
      <bottom style="medium">
        <color rgb="FF000000"/>
      </bottom>
      <diagonal/>
    </border>
    <border>
      <left style="thick">
        <color indexed="64"/>
      </left>
      <right style="thick">
        <color indexed="64"/>
      </right>
      <top style="thick">
        <color rgb="FF000000"/>
      </top>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rgb="FF000000"/>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77">
    <xf numFmtId="0" fontId="0" fillId="0" borderId="0" xfId="0"/>
    <xf numFmtId="0" fontId="4" fillId="0" borderId="0" xfId="0" applyFont="1"/>
    <xf numFmtId="0" fontId="4" fillId="0" borderId="0" xfId="0" applyFont="1" applyFill="1"/>
    <xf numFmtId="0" fontId="5" fillId="2"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0" xfId="0" applyFont="1" applyAlignment="1">
      <alignment wrapText="1"/>
    </xf>
    <xf numFmtId="43" fontId="4" fillId="0" borderId="5" xfId="1" applyFont="1" applyBorder="1" applyAlignment="1">
      <alignment wrapText="1"/>
    </xf>
    <xf numFmtId="43" fontId="4" fillId="0" borderId="6" xfId="1" applyFont="1" applyFill="1" applyBorder="1" applyAlignment="1">
      <alignment wrapText="1"/>
    </xf>
    <xf numFmtId="43" fontId="4" fillId="0" borderId="5" xfId="1" applyFont="1" applyFill="1" applyBorder="1" applyAlignment="1">
      <alignment wrapText="1"/>
    </xf>
    <xf numFmtId="0" fontId="4" fillId="0" borderId="0" xfId="0" applyFont="1" applyFill="1" applyAlignment="1">
      <alignment wrapText="1"/>
    </xf>
    <xf numFmtId="43" fontId="4" fillId="0" borderId="7" xfId="1" applyFont="1" applyFill="1" applyBorder="1" applyAlignment="1">
      <alignment wrapText="1"/>
    </xf>
    <xf numFmtId="43" fontId="5" fillId="4" borderId="5" xfId="1" applyFont="1" applyFill="1" applyBorder="1"/>
    <xf numFmtId="43" fontId="5" fillId="4" borderId="6" xfId="1" applyFont="1" applyFill="1" applyBorder="1"/>
    <xf numFmtId="0" fontId="5" fillId="4" borderId="0" xfId="0" applyFont="1" applyFill="1"/>
    <xf numFmtId="43" fontId="4" fillId="4" borderId="5" xfId="1" applyFont="1" applyFill="1" applyBorder="1"/>
    <xf numFmtId="0" fontId="4" fillId="4" borderId="0" xfId="0" applyFont="1" applyFill="1"/>
    <xf numFmtId="43" fontId="4" fillId="0" borderId="5" xfId="1" applyFont="1" applyBorder="1"/>
    <xf numFmtId="43" fontId="4" fillId="0" borderId="6" xfId="1" applyFont="1" applyFill="1" applyBorder="1"/>
    <xf numFmtId="43" fontId="4" fillId="0" borderId="5" xfId="1" applyFont="1" applyFill="1" applyBorder="1"/>
    <xf numFmtId="43" fontId="4" fillId="0" borderId="7" xfId="1" applyFont="1" applyFill="1" applyBorder="1"/>
    <xf numFmtId="43" fontId="4" fillId="0" borderId="0" xfId="1" applyFont="1" applyBorder="1"/>
    <xf numFmtId="43" fontId="4" fillId="4" borderId="6" xfId="1" applyFont="1" applyFill="1" applyBorder="1"/>
    <xf numFmtId="43" fontId="10" fillId="4" borderId="9" xfId="1" applyFont="1" applyFill="1" applyBorder="1"/>
    <xf numFmtId="43" fontId="7" fillId="4" borderId="9" xfId="1" applyFont="1" applyFill="1" applyBorder="1"/>
    <xf numFmtId="43" fontId="10" fillId="4" borderId="11" xfId="1" applyFont="1" applyFill="1" applyBorder="1"/>
    <xf numFmtId="43" fontId="7" fillId="4" borderId="11" xfId="1" applyFont="1" applyFill="1" applyBorder="1"/>
    <xf numFmtId="43" fontId="4" fillId="0" borderId="0" xfId="1" applyFont="1"/>
    <xf numFmtId="43" fontId="4" fillId="0" borderId="0" xfId="1" applyFont="1" applyAlignment="1">
      <alignment wrapText="1"/>
    </xf>
    <xf numFmtId="43" fontId="4" fillId="0" borderId="0" xfId="1" applyFont="1" applyFill="1"/>
    <xf numFmtId="0" fontId="4" fillId="5" borderId="0" xfId="0" applyFont="1" applyFill="1"/>
    <xf numFmtId="43" fontId="4" fillId="5" borderId="0" xfId="1" applyFont="1" applyFill="1"/>
    <xf numFmtId="43" fontId="10" fillId="5" borderId="0" xfId="1" applyFont="1" applyFill="1"/>
    <xf numFmtId="43" fontId="10" fillId="0" borderId="0" xfId="1" applyFont="1"/>
    <xf numFmtId="40" fontId="4" fillId="5" borderId="0" xfId="1" applyNumberFormat="1" applyFont="1" applyFill="1"/>
    <xf numFmtId="40" fontId="4" fillId="5" borderId="0" xfId="0" applyNumberFormat="1" applyFont="1" applyFill="1"/>
    <xf numFmtId="0" fontId="10" fillId="5" borderId="0" xfId="0" applyFont="1" applyFill="1"/>
    <xf numFmtId="43" fontId="4" fillId="5" borderId="0" xfId="0" applyNumberFormat="1" applyFont="1" applyFill="1"/>
    <xf numFmtId="38" fontId="7" fillId="0" borderId="0" xfId="1" applyNumberFormat="1" applyFont="1"/>
    <xf numFmtId="0" fontId="10" fillId="0" borderId="0" xfId="0" applyFont="1"/>
    <xf numFmtId="38" fontId="4" fillId="0" borderId="0" xfId="0" applyNumberFormat="1" applyFont="1"/>
    <xf numFmtId="164" fontId="4" fillId="0" borderId="0" xfId="1" applyNumberFormat="1" applyFont="1"/>
    <xf numFmtId="40" fontId="4" fillId="0" borderId="0" xfId="0" applyNumberFormat="1" applyFont="1"/>
    <xf numFmtId="2" fontId="4" fillId="0" borderId="0" xfId="0" applyNumberFormat="1" applyFont="1"/>
    <xf numFmtId="43" fontId="4" fillId="0" borderId="0" xfId="0" applyNumberFormat="1" applyFont="1"/>
    <xf numFmtId="164" fontId="4" fillId="0" borderId="0" xfId="0" applyNumberFormat="1" applyFont="1"/>
    <xf numFmtId="9" fontId="4" fillId="0" borderId="0" xfId="2" applyNumberFormat="1" applyFont="1"/>
    <xf numFmtId="9" fontId="4" fillId="0" borderId="0" xfId="0" applyNumberFormat="1" applyFont="1"/>
    <xf numFmtId="38" fontId="4" fillId="0" borderId="0" xfId="1" applyNumberFormat="1" applyFont="1"/>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38" fontId="4" fillId="0" borderId="5" xfId="0" applyNumberFormat="1" applyFont="1" applyFill="1" applyBorder="1" applyAlignment="1"/>
    <xf numFmtId="43" fontId="4" fillId="0" borderId="5" xfId="0" applyNumberFormat="1" applyFont="1" applyFill="1" applyBorder="1" applyAlignment="1"/>
    <xf numFmtId="40" fontId="4" fillId="0" borderId="5" xfId="0" applyNumberFormat="1" applyFont="1" applyFill="1" applyBorder="1" applyAlignment="1"/>
    <xf numFmtId="9" fontId="4" fillId="0" borderId="6" xfId="0" applyNumberFormat="1" applyFont="1" applyFill="1" applyBorder="1" applyAlignment="1"/>
    <xf numFmtId="2" fontId="4" fillId="0" borderId="5" xfId="0" applyNumberFormat="1" applyFont="1" applyFill="1" applyBorder="1" applyAlignment="1"/>
    <xf numFmtId="164" fontId="4" fillId="0" borderId="5" xfId="0" applyNumberFormat="1" applyFont="1" applyFill="1" applyBorder="1" applyAlignment="1"/>
    <xf numFmtId="0" fontId="4" fillId="0" borderId="10" xfId="0" applyFont="1" applyFill="1" applyBorder="1" applyAlignment="1">
      <alignment horizontal="center" vertical="center"/>
    </xf>
    <xf numFmtId="164" fontId="4" fillId="0" borderId="11" xfId="0" applyNumberFormat="1" applyFont="1" applyFill="1" applyBorder="1" applyAlignment="1"/>
    <xf numFmtId="43" fontId="4" fillId="0" borderId="11" xfId="0" applyNumberFormat="1" applyFont="1" applyFill="1" applyBorder="1" applyAlignment="1"/>
    <xf numFmtId="9" fontId="4" fillId="0" borderId="14" xfId="0" applyNumberFormat="1" applyFont="1" applyFill="1" applyBorder="1" applyAlignment="1"/>
    <xf numFmtId="0" fontId="7" fillId="5" borderId="0" xfId="0" applyFont="1" applyFill="1"/>
    <xf numFmtId="0" fontId="7" fillId="5" borderId="0" xfId="0" applyFont="1" applyFill="1" applyAlignment="1">
      <alignment wrapText="1"/>
    </xf>
    <xf numFmtId="0" fontId="13" fillId="5" borderId="0" xfId="0" applyFont="1" applyFill="1"/>
    <xf numFmtId="43" fontId="7" fillId="5" borderId="0" xfId="1" applyFont="1" applyFill="1"/>
    <xf numFmtId="43" fontId="7" fillId="5" borderId="0" xfId="0" applyNumberFormat="1" applyFont="1" applyFill="1"/>
    <xf numFmtId="9" fontId="7" fillId="5" borderId="0" xfId="0" applyNumberFormat="1" applyFont="1" applyFill="1"/>
    <xf numFmtId="0" fontId="0" fillId="0" borderId="0" xfId="0" applyAlignment="1">
      <alignment horizontal="center" vertical="center"/>
    </xf>
    <xf numFmtId="4" fontId="0" fillId="0" borderId="0" xfId="0" applyNumberFormat="1"/>
    <xf numFmtId="0" fontId="0" fillId="0" borderId="5" xfId="0" applyBorder="1" applyAlignment="1">
      <alignment horizontal="center"/>
    </xf>
    <xf numFmtId="0" fontId="0" fillId="0" borderId="5" xfId="0" applyBorder="1" applyAlignment="1">
      <alignment horizontal="center" vertical="center"/>
    </xf>
    <xf numFmtId="0" fontId="2" fillId="0" borderId="1" xfId="0" applyFont="1" applyBorder="1" applyAlignment="1">
      <alignment vertical="top"/>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0" fillId="0" borderId="4" xfId="0" applyBorder="1" applyAlignment="1">
      <alignment horizontal="center"/>
    </xf>
    <xf numFmtId="0" fontId="0" fillId="0" borderId="6" xfId="0" applyBorder="1"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0" fillId="0" borderId="11" xfId="0" applyBorder="1" applyAlignment="1">
      <alignment horizontal="center"/>
    </xf>
    <xf numFmtId="0" fontId="0" fillId="0" borderId="14" xfId="0" applyBorder="1" applyAlignment="1">
      <alignment horizontal="center"/>
    </xf>
    <xf numFmtId="0" fontId="0" fillId="0" borderId="5" xfId="0" applyBorder="1"/>
    <xf numFmtId="0" fontId="0" fillId="0" borderId="6" xfId="0" applyBorder="1" applyAlignment="1">
      <alignment vertical="center"/>
    </xf>
    <xf numFmtId="0" fontId="0" fillId="0" borderId="6" xfId="0" applyBorder="1"/>
    <xf numFmtId="0" fontId="0" fillId="0" borderId="11" xfId="0" applyBorder="1"/>
    <xf numFmtId="0" fontId="0" fillId="0" borderId="14" xfId="0" applyBorder="1"/>
    <xf numFmtId="0" fontId="7" fillId="0" borderId="4" xfId="0" applyFont="1" applyFill="1" applyBorder="1" applyAlignment="1">
      <alignment vertical="top" wrapText="1"/>
    </xf>
    <xf numFmtId="0" fontId="3" fillId="0" borderId="0" xfId="0" applyFont="1" applyAlignment="1">
      <alignment vertical="top"/>
    </xf>
    <xf numFmtId="0" fontId="5" fillId="2" borderId="1" xfId="0" applyFont="1" applyFill="1" applyBorder="1" applyAlignment="1">
      <alignment horizontal="center" vertical="top" wrapText="1"/>
    </xf>
    <xf numFmtId="0" fontId="6" fillId="0" borderId="4" xfId="0" applyFont="1" applyBorder="1" applyAlignment="1">
      <alignment vertical="top" wrapText="1"/>
    </xf>
    <xf numFmtId="0" fontId="4" fillId="0" borderId="4" xfId="0" applyFont="1" applyFill="1" applyBorder="1" applyAlignment="1">
      <alignment vertical="top" wrapText="1"/>
    </xf>
    <xf numFmtId="0" fontId="4" fillId="0" borderId="4" xfId="0" applyFont="1" applyBorder="1" applyAlignment="1">
      <alignment vertical="top" wrapText="1"/>
    </xf>
    <xf numFmtId="0" fontId="5" fillId="0" borderId="4" xfId="0" applyFont="1" applyBorder="1" applyAlignment="1">
      <alignment vertical="top" wrapText="1"/>
    </xf>
    <xf numFmtId="0" fontId="5" fillId="4" borderId="4" xfId="0" applyFont="1" applyFill="1" applyBorder="1" applyAlignment="1">
      <alignment horizontal="left" vertical="top"/>
    </xf>
    <xf numFmtId="0" fontId="5" fillId="0" borderId="4" xfId="0" applyFont="1" applyBorder="1" applyAlignment="1">
      <alignment horizontal="right" vertical="top"/>
    </xf>
    <xf numFmtId="0" fontId="4" fillId="0" borderId="4" xfId="0" applyFont="1" applyBorder="1" applyAlignment="1">
      <alignment vertical="top"/>
    </xf>
    <xf numFmtId="0" fontId="6" fillId="0" borderId="4" xfId="0" applyFont="1" applyFill="1" applyBorder="1" applyAlignment="1">
      <alignment vertical="top"/>
    </xf>
    <xf numFmtId="0" fontId="8" fillId="0" borderId="4" xfId="0" applyFont="1" applyFill="1" applyBorder="1" applyAlignment="1">
      <alignment vertical="top" wrapText="1"/>
    </xf>
    <xf numFmtId="0" fontId="9" fillId="4" borderId="4" xfId="0" applyFont="1" applyFill="1" applyBorder="1" applyAlignment="1">
      <alignment vertical="top"/>
    </xf>
    <xf numFmtId="0" fontId="5" fillId="4" borderId="4" xfId="0" applyFont="1" applyFill="1" applyBorder="1" applyAlignment="1">
      <alignment vertical="top"/>
    </xf>
    <xf numFmtId="0" fontId="9" fillId="4" borderId="8" xfId="0" applyFont="1" applyFill="1" applyBorder="1" applyAlignment="1">
      <alignment vertical="top"/>
    </xf>
    <xf numFmtId="0" fontId="9" fillId="4" borderId="10" xfId="0" applyFont="1" applyFill="1" applyBorder="1" applyAlignment="1">
      <alignment vertical="top"/>
    </xf>
    <xf numFmtId="0" fontId="4" fillId="0" borderId="0" xfId="0" applyFont="1" applyAlignment="1">
      <alignment vertical="top"/>
    </xf>
    <xf numFmtId="0" fontId="4" fillId="5" borderId="0" xfId="0" applyFont="1" applyFill="1" applyAlignment="1">
      <alignment vertical="top"/>
    </xf>
    <xf numFmtId="0" fontId="7"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10" fillId="0" borderId="4" xfId="0" applyFont="1" applyFill="1" applyBorder="1" applyAlignment="1">
      <alignment vertical="top" wrapText="1"/>
    </xf>
    <xf numFmtId="0" fontId="14" fillId="0" borderId="4" xfId="0" applyFont="1" applyFill="1" applyBorder="1" applyAlignment="1">
      <alignment vertical="top" wrapText="1"/>
    </xf>
    <xf numFmtId="43" fontId="4" fillId="0" borderId="7" xfId="1" applyFont="1" applyBorder="1"/>
    <xf numFmtId="43" fontId="0" fillId="0" borderId="0" xfId="1" applyFont="1"/>
    <xf numFmtId="0" fontId="0" fillId="0" borderId="0" xfId="0" applyAlignment="1">
      <alignment wrapText="1"/>
    </xf>
    <xf numFmtId="3" fontId="0" fillId="0" borderId="0" xfId="0" applyNumberFormat="1"/>
    <xf numFmtId="43" fontId="0" fillId="0" borderId="0" xfId="0" applyNumberFormat="1"/>
    <xf numFmtId="43" fontId="7" fillId="0" borderId="5" xfId="1" applyFont="1" applyBorder="1" applyAlignment="1">
      <alignment wrapText="1"/>
    </xf>
    <xf numFmtId="43" fontId="7" fillId="0" borderId="5" xfId="1" applyFont="1" applyFill="1" applyBorder="1" applyAlignment="1">
      <alignment wrapText="1"/>
    </xf>
    <xf numFmtId="43" fontId="7" fillId="5" borderId="5" xfId="1" applyFont="1" applyFill="1" applyBorder="1" applyAlignment="1">
      <alignment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6" fillId="0" borderId="20" xfId="0" applyFont="1" applyBorder="1" applyAlignment="1">
      <alignment vertical="center" wrapText="1"/>
    </xf>
    <xf numFmtId="0" fontId="17" fillId="0" borderId="0" xfId="0" applyFont="1" applyAlignment="1">
      <alignment horizontal="center" vertical="center" wrapText="1"/>
    </xf>
    <xf numFmtId="0" fontId="16" fillId="0" borderId="22" xfId="0" applyFont="1" applyBorder="1" applyAlignment="1">
      <alignment vertical="center" wrapText="1"/>
    </xf>
    <xf numFmtId="0" fontId="17" fillId="0" borderId="23" xfId="0" applyFont="1" applyBorder="1" applyAlignment="1">
      <alignment horizontal="center" vertical="center" wrapText="1"/>
    </xf>
    <xf numFmtId="0" fontId="19" fillId="0" borderId="24" xfId="0" applyFont="1" applyBorder="1" applyAlignment="1">
      <alignment vertical="center" wrapText="1"/>
    </xf>
    <xf numFmtId="0" fontId="20" fillId="8" borderId="0" xfId="0" applyFont="1" applyFill="1" applyAlignment="1">
      <alignment horizontal="center" vertical="center" wrapText="1"/>
    </xf>
    <xf numFmtId="0" fontId="21" fillId="9" borderId="0" xfId="0" applyFont="1" applyFill="1" applyAlignment="1">
      <alignment horizontal="center" vertical="center" wrapText="1"/>
    </xf>
    <xf numFmtId="0" fontId="21" fillId="9" borderId="25" xfId="0" applyFont="1" applyFill="1" applyBorder="1" applyAlignment="1">
      <alignment horizontal="center" vertical="center" wrapText="1"/>
    </xf>
    <xf numFmtId="0" fontId="0" fillId="9" borderId="25" xfId="0" applyFill="1" applyBorder="1" applyAlignment="1">
      <alignment vertical="center" wrapText="1"/>
    </xf>
    <xf numFmtId="0" fontId="0" fillId="9" borderId="21" xfId="0" applyFill="1" applyBorder="1" applyAlignment="1">
      <alignment vertical="center" wrapText="1"/>
    </xf>
    <xf numFmtId="0" fontId="19" fillId="0" borderId="26" xfId="0" applyFont="1" applyBorder="1" applyAlignment="1">
      <alignment vertical="center" wrapText="1"/>
    </xf>
    <xf numFmtId="0" fontId="16" fillId="10" borderId="20" xfId="0" applyFont="1" applyFill="1" applyBorder="1" applyAlignment="1">
      <alignment vertical="center" wrapText="1"/>
    </xf>
    <xf numFmtId="0" fontId="22" fillId="10" borderId="0" xfId="0" applyFont="1" applyFill="1" applyAlignment="1">
      <alignment horizontal="center" vertical="center"/>
    </xf>
    <xf numFmtId="0" fontId="21" fillId="10" borderId="26" xfId="0" applyFont="1" applyFill="1" applyBorder="1" applyAlignment="1">
      <alignment vertical="center" wrapText="1"/>
    </xf>
    <xf numFmtId="0" fontId="16" fillId="10" borderId="22" xfId="0" applyFont="1" applyFill="1" applyBorder="1" applyAlignment="1">
      <alignment vertical="center" wrapText="1"/>
    </xf>
    <xf numFmtId="0" fontId="17" fillId="0" borderId="16" xfId="0" applyFont="1" applyBorder="1" applyAlignment="1">
      <alignment horizontal="center" vertical="center" wrapText="1"/>
    </xf>
    <xf numFmtId="0" fontId="17" fillId="10" borderId="0" xfId="0" applyFont="1" applyFill="1" applyAlignment="1">
      <alignment horizontal="center" vertical="center" wrapText="1"/>
    </xf>
    <xf numFmtId="0" fontId="19" fillId="10" borderId="26" xfId="0" applyFont="1" applyFill="1" applyBorder="1" applyAlignment="1">
      <alignment vertical="center" wrapText="1"/>
    </xf>
    <xf numFmtId="0" fontId="17" fillId="10" borderId="23" xfId="0" applyFont="1" applyFill="1" applyBorder="1" applyAlignment="1">
      <alignment horizontal="center" vertical="center" wrapText="1"/>
    </xf>
    <xf numFmtId="0" fontId="19" fillId="10" borderId="24" xfId="0" applyFont="1" applyFill="1" applyBorder="1" applyAlignment="1">
      <alignment vertical="center" wrapText="1"/>
    </xf>
    <xf numFmtId="0" fontId="21" fillId="9" borderId="21" xfId="0" applyFont="1" applyFill="1" applyBorder="1" applyAlignment="1">
      <alignment horizontal="center" vertical="center" wrapText="1"/>
    </xf>
    <xf numFmtId="0" fontId="21" fillId="9" borderId="23" xfId="0" applyFont="1" applyFill="1" applyBorder="1" applyAlignment="1">
      <alignment horizontal="center" vertical="center" wrapText="1"/>
    </xf>
    <xf numFmtId="0" fontId="2" fillId="0" borderId="5" xfId="0" applyFont="1" applyBorder="1" applyAlignment="1">
      <alignment horizontal="center" wrapText="1"/>
    </xf>
    <xf numFmtId="164" fontId="0" fillId="0" borderId="5" xfId="1" applyNumberFormat="1" applyFont="1" applyBorder="1"/>
    <xf numFmtId="164" fontId="0" fillId="0" borderId="0" xfId="1" applyNumberFormat="1" applyFont="1"/>
    <xf numFmtId="0" fontId="2" fillId="0" borderId="5" xfId="0" applyFont="1" applyFill="1" applyBorder="1" applyAlignment="1">
      <alignment horizontal="center" wrapText="1"/>
    </xf>
    <xf numFmtId="164" fontId="0" fillId="0" borderId="5" xfId="0" applyNumberFormat="1" applyBorder="1"/>
    <xf numFmtId="43" fontId="0" fillId="0" borderId="0" xfId="1" applyFont="1" applyAlignment="1">
      <alignment wrapText="1"/>
    </xf>
    <xf numFmtId="0" fontId="2" fillId="0" borderId="0" xfId="0" applyFont="1"/>
    <xf numFmtId="0" fontId="0" fillId="5" borderId="0" xfId="0" applyFill="1"/>
    <xf numFmtId="0" fontId="0" fillId="5" borderId="0" xfId="0" applyFill="1" applyAlignment="1">
      <alignment wrapText="1"/>
    </xf>
    <xf numFmtId="0" fontId="18" fillId="7" borderId="17" xfId="0" applyFont="1" applyFill="1" applyBorder="1" applyAlignment="1">
      <alignment horizontal="center" vertical="center"/>
    </xf>
    <xf numFmtId="0" fontId="18" fillId="7" borderId="26" xfId="0" applyFont="1" applyFill="1" applyBorder="1" applyAlignment="1">
      <alignment horizontal="center" vertical="center"/>
    </xf>
    <xf numFmtId="0" fontId="19" fillId="0" borderId="32" xfId="0" applyFont="1" applyBorder="1" applyAlignment="1">
      <alignment vertical="center" wrapText="1"/>
    </xf>
    <xf numFmtId="0" fontId="19" fillId="0" borderId="33" xfId="0" applyFont="1" applyBorder="1" applyAlignment="1">
      <alignment vertical="center" wrapText="1"/>
    </xf>
    <xf numFmtId="0" fontId="19" fillId="0" borderId="35" xfId="0" applyFont="1" applyBorder="1" applyAlignment="1">
      <alignment vertical="center" wrapText="1"/>
    </xf>
    <xf numFmtId="0" fontId="16" fillId="0" borderId="29" xfId="0" applyFont="1" applyBorder="1" applyAlignment="1">
      <alignment vertical="center" wrapText="1"/>
    </xf>
    <xf numFmtId="0" fontId="16" fillId="0" borderId="19" xfId="0" applyFont="1" applyBorder="1" applyAlignment="1">
      <alignment vertical="center" wrapText="1"/>
    </xf>
    <xf numFmtId="0" fontId="16" fillId="0" borderId="18" xfId="0" applyFont="1" applyBorder="1" applyAlignment="1">
      <alignment vertical="center" wrapText="1"/>
    </xf>
    <xf numFmtId="0" fontId="16" fillId="0" borderId="27" xfId="0" applyFont="1" applyBorder="1" applyAlignment="1">
      <alignment vertical="center" wrapText="1"/>
    </xf>
    <xf numFmtId="0" fontId="20" fillId="8" borderId="30" xfId="0" applyFont="1" applyFill="1" applyBorder="1" applyAlignment="1">
      <alignment horizontal="center" vertical="center" wrapText="1"/>
    </xf>
    <xf numFmtId="0" fontId="20" fillId="8" borderId="31" xfId="0" applyFont="1" applyFill="1" applyBorder="1" applyAlignment="1">
      <alignment horizontal="center" vertical="center" wrapText="1"/>
    </xf>
    <xf numFmtId="0" fontId="19" fillId="0" borderId="17" xfId="0" applyFont="1" applyBorder="1" applyAlignment="1">
      <alignment vertical="center" wrapText="1"/>
    </xf>
    <xf numFmtId="0" fontId="19" fillId="0" borderId="26" xfId="0" applyFont="1" applyBorder="1" applyAlignment="1">
      <alignment vertical="center" wrapText="1"/>
    </xf>
    <xf numFmtId="0" fontId="18" fillId="7" borderId="21" xfId="0" applyFont="1" applyFill="1" applyBorder="1" applyAlignment="1">
      <alignment horizontal="center" vertical="center"/>
    </xf>
    <xf numFmtId="0" fontId="18" fillId="7" borderId="34" xfId="0" applyFont="1" applyFill="1" applyBorder="1" applyAlignment="1">
      <alignment horizontal="center" vertical="center"/>
    </xf>
    <xf numFmtId="0" fontId="18" fillId="7" borderId="26" xfId="0" applyFont="1" applyFill="1" applyBorder="1" applyAlignment="1">
      <alignment horizontal="center" vertical="center"/>
    </xf>
    <xf numFmtId="0" fontId="18" fillId="7" borderId="28"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3" xfId="0" applyFont="1" applyFill="1" applyBorder="1" applyAlignment="1">
      <alignment horizontal="center" vertical="center"/>
    </xf>
    <xf numFmtId="0" fontId="19" fillId="0" borderId="36" xfId="0" applyFont="1" applyBorder="1" applyAlignment="1">
      <alignment vertical="center" wrapText="1"/>
    </xf>
    <xf numFmtId="0" fontId="18" fillId="7" borderId="38" xfId="0" applyFont="1" applyFill="1" applyBorder="1" applyAlignment="1">
      <alignment horizontal="center" vertical="center"/>
    </xf>
    <xf numFmtId="0" fontId="18" fillId="7" borderId="24" xfId="0" applyFont="1" applyFill="1" applyBorder="1" applyAlignment="1">
      <alignment horizontal="center" vertical="center"/>
    </xf>
    <xf numFmtId="0" fontId="21" fillId="9" borderId="37" xfId="0" applyFont="1" applyFill="1" applyBorder="1" applyAlignment="1">
      <alignment horizontal="center" vertical="center" wrapText="1"/>
    </xf>
    <xf numFmtId="0" fontId="18" fillId="7" borderId="37" xfId="0" applyFont="1" applyFill="1" applyBorder="1" applyAlignment="1">
      <alignment horizontal="center" vertical="center" wrapText="1"/>
    </xf>
    <xf numFmtId="0" fontId="18" fillId="7" borderId="17" xfId="0" applyFont="1" applyFill="1" applyBorder="1" applyAlignment="1">
      <alignment horizontal="center"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4</xdr:col>
      <xdr:colOff>145939</xdr:colOff>
      <xdr:row>15</xdr:row>
      <xdr:rowOff>88631</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stretch>
          <a:fillRect/>
        </a:stretch>
      </xdr:blipFill>
      <xdr:spPr>
        <a:xfrm>
          <a:off x="1219200" y="190500"/>
          <a:ext cx="4584589" cy="27556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1"/>
  <sheetViews>
    <sheetView tabSelected="1" zoomScale="62" zoomScaleNormal="62" workbookViewId="0">
      <selection activeCell="F18" sqref="F18"/>
    </sheetView>
  </sheetViews>
  <sheetFormatPr defaultRowHeight="15" x14ac:dyDescent="0.25"/>
  <cols>
    <col min="2" max="8" width="36.42578125" customWidth="1"/>
  </cols>
  <sheetData>
    <row r="1" spans="2:8" ht="16.5" thickTop="1" thickBot="1" x14ac:dyDescent="0.3">
      <c r="B1" s="117" t="s">
        <v>122</v>
      </c>
      <c r="C1" s="117" t="s">
        <v>123</v>
      </c>
      <c r="D1" s="117" t="s">
        <v>124</v>
      </c>
      <c r="E1" s="118" t="s">
        <v>125</v>
      </c>
      <c r="F1" s="119" t="s">
        <v>228</v>
      </c>
      <c r="G1" s="119" t="s">
        <v>126</v>
      </c>
    </row>
    <row r="2" spans="2:8" ht="197.45" customHeight="1" thickTop="1" x14ac:dyDescent="0.25">
      <c r="B2" s="159" t="s">
        <v>127</v>
      </c>
      <c r="C2" s="120" t="s">
        <v>128</v>
      </c>
      <c r="D2" s="121" t="s">
        <v>129</v>
      </c>
      <c r="E2" s="172" t="s">
        <v>130</v>
      </c>
      <c r="F2" s="151"/>
      <c r="G2" s="155" t="s">
        <v>131</v>
      </c>
      <c r="H2" s="150" t="s">
        <v>227</v>
      </c>
    </row>
    <row r="3" spans="2:8" ht="26.25" thickBot="1" x14ac:dyDescent="0.3">
      <c r="B3" s="158"/>
      <c r="C3" s="122" t="s">
        <v>132</v>
      </c>
      <c r="D3" s="123" t="s">
        <v>133</v>
      </c>
      <c r="E3" s="164"/>
      <c r="F3" s="173"/>
      <c r="G3" s="153" t="s">
        <v>134</v>
      </c>
      <c r="H3" s="149" t="s">
        <v>226</v>
      </c>
    </row>
    <row r="4" spans="2:8" ht="26.25" thickTop="1" x14ac:dyDescent="0.25">
      <c r="B4" s="156" t="s">
        <v>135</v>
      </c>
      <c r="C4" s="120" t="s">
        <v>136</v>
      </c>
      <c r="D4" s="125" t="s">
        <v>137</v>
      </c>
      <c r="E4" s="127" t="s">
        <v>138</v>
      </c>
      <c r="F4" s="127"/>
      <c r="G4" s="130" t="s">
        <v>141</v>
      </c>
    </row>
    <row r="5" spans="2:8" ht="26.25" thickBot="1" x14ac:dyDescent="0.3">
      <c r="B5" s="157"/>
      <c r="C5" s="120" t="s">
        <v>142</v>
      </c>
      <c r="D5" s="121" t="s">
        <v>143</v>
      </c>
      <c r="E5" s="127" t="s">
        <v>139</v>
      </c>
      <c r="F5" s="127"/>
      <c r="G5" s="130" t="s">
        <v>144</v>
      </c>
    </row>
    <row r="6" spans="2:8" ht="39" thickBot="1" x14ac:dyDescent="0.3">
      <c r="B6" s="157"/>
      <c r="C6" s="120" t="s">
        <v>145</v>
      </c>
      <c r="D6" s="125" t="s">
        <v>146</v>
      </c>
      <c r="E6" s="127" t="s">
        <v>140</v>
      </c>
      <c r="F6" s="174" t="s">
        <v>229</v>
      </c>
      <c r="G6" s="154" t="s">
        <v>141</v>
      </c>
    </row>
    <row r="7" spans="2:8" ht="25.5" x14ac:dyDescent="0.25">
      <c r="B7" s="157"/>
      <c r="C7" s="120" t="s">
        <v>147</v>
      </c>
      <c r="D7" s="121" t="s">
        <v>148</v>
      </c>
      <c r="E7" s="128"/>
      <c r="F7" s="128"/>
      <c r="G7" s="130" t="s">
        <v>144</v>
      </c>
    </row>
    <row r="8" spans="2:8" x14ac:dyDescent="0.25">
      <c r="B8" s="157"/>
      <c r="C8" s="131"/>
      <c r="D8" s="132"/>
      <c r="E8" s="128"/>
      <c r="F8" s="128"/>
      <c r="G8" s="133"/>
    </row>
    <row r="9" spans="2:8" ht="15.75" thickBot="1" x14ac:dyDescent="0.3">
      <c r="B9" s="158"/>
      <c r="C9" s="134"/>
      <c r="D9" s="132"/>
      <c r="E9" s="129"/>
      <c r="F9" s="128"/>
      <c r="G9" s="133"/>
    </row>
    <row r="10" spans="2:8" ht="39.75" thickTop="1" thickBot="1" x14ac:dyDescent="0.3">
      <c r="B10" s="156" t="s">
        <v>149</v>
      </c>
      <c r="C10" s="120" t="s">
        <v>150</v>
      </c>
      <c r="D10" s="135" t="s">
        <v>151</v>
      </c>
      <c r="E10" s="165" t="s">
        <v>130</v>
      </c>
      <c r="F10" s="175" t="s">
        <v>230</v>
      </c>
      <c r="G10" s="155" t="s">
        <v>152</v>
      </c>
    </row>
    <row r="11" spans="2:8" ht="63.75" x14ac:dyDescent="0.25">
      <c r="B11" s="157"/>
      <c r="C11" s="120" t="s">
        <v>153</v>
      </c>
      <c r="D11" s="121" t="s">
        <v>154</v>
      </c>
      <c r="E11" s="166"/>
      <c r="F11" s="176" t="s">
        <v>231</v>
      </c>
      <c r="G11" s="130" t="s">
        <v>155</v>
      </c>
    </row>
    <row r="12" spans="2:8" x14ac:dyDescent="0.25">
      <c r="B12" s="157"/>
      <c r="C12" s="131"/>
      <c r="D12" s="136"/>
      <c r="E12" s="166"/>
      <c r="F12" s="152"/>
      <c r="G12" s="137"/>
    </row>
    <row r="13" spans="2:8" x14ac:dyDescent="0.25">
      <c r="B13" s="157"/>
      <c r="C13" s="131"/>
      <c r="D13" s="136"/>
      <c r="E13" s="166"/>
      <c r="F13" s="152"/>
      <c r="G13" s="137"/>
    </row>
    <row r="14" spans="2:8" ht="15.75" thickBot="1" x14ac:dyDescent="0.3">
      <c r="B14" s="158"/>
      <c r="C14" s="134"/>
      <c r="D14" s="138"/>
      <c r="E14" s="167"/>
      <c r="F14" s="173"/>
      <c r="G14" s="139"/>
    </row>
    <row r="15" spans="2:8" ht="53.25" customHeight="1" thickTop="1" x14ac:dyDescent="0.25">
      <c r="B15" s="156" t="s">
        <v>156</v>
      </c>
      <c r="C15" s="120" t="s">
        <v>157</v>
      </c>
      <c r="D15" s="125" t="s">
        <v>158</v>
      </c>
      <c r="E15" s="127" t="s">
        <v>138</v>
      </c>
      <c r="F15" s="127"/>
      <c r="G15" s="130" t="s">
        <v>161</v>
      </c>
    </row>
    <row r="16" spans="2:8" ht="42.75" customHeight="1" x14ac:dyDescent="0.25">
      <c r="B16" s="157"/>
      <c r="C16" s="120" t="s">
        <v>162</v>
      </c>
      <c r="D16" s="126" t="s">
        <v>163</v>
      </c>
      <c r="E16" s="127" t="s">
        <v>159</v>
      </c>
      <c r="F16" s="127"/>
      <c r="G16" s="130" t="s">
        <v>164</v>
      </c>
    </row>
    <row r="17" spans="2:7" ht="57" customHeight="1" thickBot="1" x14ac:dyDescent="0.3">
      <c r="B17" s="158"/>
      <c r="C17" s="122" t="s">
        <v>165</v>
      </c>
      <c r="D17" s="141" t="s">
        <v>163</v>
      </c>
      <c r="E17" s="140" t="s">
        <v>160</v>
      </c>
      <c r="F17" s="140" t="s">
        <v>232</v>
      </c>
      <c r="G17" s="171" t="s">
        <v>166</v>
      </c>
    </row>
    <row r="18" spans="2:7" ht="110.45" customHeight="1" thickTop="1" x14ac:dyDescent="0.25">
      <c r="B18" s="156" t="s">
        <v>167</v>
      </c>
      <c r="C18" s="159" t="s">
        <v>168</v>
      </c>
      <c r="D18" s="160" t="s">
        <v>169</v>
      </c>
      <c r="E18" s="127" t="s">
        <v>138</v>
      </c>
      <c r="F18" s="127"/>
      <c r="G18" s="162" t="s">
        <v>141</v>
      </c>
    </row>
    <row r="19" spans="2:7" x14ac:dyDescent="0.25">
      <c r="B19" s="157"/>
      <c r="C19" s="157"/>
      <c r="D19" s="161"/>
      <c r="E19" s="127" t="s">
        <v>170</v>
      </c>
      <c r="F19" s="127"/>
      <c r="G19" s="163"/>
    </row>
    <row r="20" spans="2:7" ht="104.25" customHeight="1" thickBot="1" x14ac:dyDescent="0.3">
      <c r="B20" s="158"/>
      <c r="C20" s="122" t="s">
        <v>172</v>
      </c>
      <c r="D20" s="141" t="s">
        <v>163</v>
      </c>
      <c r="E20" s="140" t="s">
        <v>171</v>
      </c>
      <c r="F20" s="140" t="s">
        <v>233</v>
      </c>
      <c r="G20" s="124" t="s">
        <v>173</v>
      </c>
    </row>
    <row r="21" spans="2:7" ht="15.75" thickTop="1" x14ac:dyDescent="0.25"/>
  </sheetData>
  <mergeCells count="10">
    <mergeCell ref="B18:B20"/>
    <mergeCell ref="C18:C19"/>
    <mergeCell ref="D18:D19"/>
    <mergeCell ref="G18:G19"/>
    <mergeCell ref="B2:B3"/>
    <mergeCell ref="E2:E3"/>
    <mergeCell ref="B4:B9"/>
    <mergeCell ref="B10:B14"/>
    <mergeCell ref="E10:E14"/>
    <mergeCell ref="B15:B17"/>
  </mergeCells>
  <pageMargins left="0.7" right="0.7" top="0.75" bottom="0.75" header="0.3" footer="0.3"/>
  <pageSetup paperSize="9" scale="6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4:I8"/>
  <sheetViews>
    <sheetView workbookViewId="0">
      <selection activeCell="C18" sqref="C18"/>
    </sheetView>
  </sheetViews>
  <sheetFormatPr defaultRowHeight="15" x14ac:dyDescent="0.25"/>
  <cols>
    <col min="5" max="5" width="12.28515625" customWidth="1"/>
    <col min="7" max="7" width="41.42578125" customWidth="1"/>
    <col min="8" max="8" width="13.28515625" bestFit="1" customWidth="1"/>
  </cols>
  <sheetData>
    <row r="4" spans="4:9" x14ac:dyDescent="0.25">
      <c r="D4" t="s">
        <v>83</v>
      </c>
      <c r="H4" s="112">
        <v>5000</v>
      </c>
    </row>
    <row r="6" spans="4:9" x14ac:dyDescent="0.25">
      <c r="D6" t="s">
        <v>85</v>
      </c>
      <c r="H6">
        <v>250</v>
      </c>
      <c r="I6" t="s">
        <v>82</v>
      </c>
    </row>
    <row r="8" spans="4:9" x14ac:dyDescent="0.25">
      <c r="D8" t="s">
        <v>84</v>
      </c>
      <c r="H8" s="110">
        <f>H4*H6</f>
        <v>1250000</v>
      </c>
      <c r="I8" t="s">
        <v>82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C5:K25"/>
  <sheetViews>
    <sheetView topLeftCell="A16" workbookViewId="0">
      <selection activeCell="D28" sqref="D28"/>
    </sheetView>
  </sheetViews>
  <sheetFormatPr defaultRowHeight="15" x14ac:dyDescent="0.25"/>
  <cols>
    <col min="3" max="4" width="33.28515625" customWidth="1"/>
    <col min="5" max="5" width="37" customWidth="1"/>
    <col min="11" max="11" width="13.28515625" bestFit="1" customWidth="1"/>
  </cols>
  <sheetData>
    <row r="5" spans="11:11" x14ac:dyDescent="0.25">
      <c r="K5" s="110"/>
    </row>
    <row r="17" spans="3:5" x14ac:dyDescent="0.25">
      <c r="D17" t="s">
        <v>206</v>
      </c>
    </row>
    <row r="20" spans="3:5" ht="45" x14ac:dyDescent="0.25">
      <c r="C20" s="111" t="s">
        <v>208</v>
      </c>
      <c r="D20">
        <v>56000</v>
      </c>
      <c r="E20" s="111" t="s">
        <v>212</v>
      </c>
    </row>
    <row r="21" spans="3:5" x14ac:dyDescent="0.25">
      <c r="C21" t="s">
        <v>209</v>
      </c>
      <c r="D21">
        <f>D20/5</f>
        <v>11200</v>
      </c>
      <c r="E21" t="s">
        <v>211</v>
      </c>
    </row>
    <row r="22" spans="3:5" x14ac:dyDescent="0.25">
      <c r="C22" t="s">
        <v>210</v>
      </c>
      <c r="D22">
        <f>D21*10000</f>
        <v>112000000</v>
      </c>
    </row>
    <row r="23" spans="3:5" x14ac:dyDescent="0.25">
      <c r="C23" t="s">
        <v>207</v>
      </c>
      <c r="D23">
        <f>D22/160</f>
        <v>700000</v>
      </c>
    </row>
    <row r="24" spans="3:5" x14ac:dyDescent="0.25">
      <c r="C24" s="111"/>
    </row>
    <row r="25" spans="3:5" ht="45" x14ac:dyDescent="0.25">
      <c r="C25" s="111" t="s">
        <v>214</v>
      </c>
      <c r="D25" t="s">
        <v>213</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E3:H38"/>
  <sheetViews>
    <sheetView workbookViewId="0">
      <selection activeCell="N10" sqref="N10"/>
    </sheetView>
  </sheetViews>
  <sheetFormatPr defaultRowHeight="15" x14ac:dyDescent="0.25"/>
  <sheetData>
    <row r="3" spans="5:8" x14ac:dyDescent="0.25">
      <c r="E3" s="148" t="s">
        <v>217</v>
      </c>
      <c r="F3" s="148"/>
      <c r="G3" s="148"/>
      <c r="H3" s="148"/>
    </row>
    <row r="4" spans="5:8" x14ac:dyDescent="0.25">
      <c r="E4" s="148"/>
      <c r="F4" s="148"/>
      <c r="G4" s="148"/>
      <c r="H4" s="148"/>
    </row>
    <row r="5" spans="5:8" x14ac:dyDescent="0.25">
      <c r="E5" s="148" t="s">
        <v>215</v>
      </c>
      <c r="F5" s="148"/>
      <c r="G5" s="148"/>
      <c r="H5" s="148"/>
    </row>
    <row r="7" spans="5:8" x14ac:dyDescent="0.25">
      <c r="E7" t="s">
        <v>216</v>
      </c>
      <c r="H7">
        <v>150</v>
      </c>
    </row>
    <row r="8" spans="5:8" x14ac:dyDescent="0.25">
      <c r="E8" s="148" t="s">
        <v>218</v>
      </c>
      <c r="H8">
        <v>50000</v>
      </c>
    </row>
    <row r="9" spans="5:8" x14ac:dyDescent="0.25">
      <c r="E9" s="148" t="s">
        <v>219</v>
      </c>
      <c r="H9">
        <f>H7*H8</f>
        <v>7500000</v>
      </c>
    </row>
    <row r="10" spans="5:8" x14ac:dyDescent="0.25">
      <c r="E10" s="148" t="s">
        <v>220</v>
      </c>
      <c r="H10" s="149">
        <f>H9/160</f>
        <v>46875</v>
      </c>
    </row>
    <row r="13" spans="5:8" x14ac:dyDescent="0.25">
      <c r="E13" s="148" t="s">
        <v>221</v>
      </c>
      <c r="F13" s="148"/>
      <c r="G13" s="148"/>
      <c r="H13" s="148"/>
    </row>
    <row r="15" spans="5:8" x14ac:dyDescent="0.25">
      <c r="E15" t="s">
        <v>216</v>
      </c>
      <c r="H15">
        <v>100</v>
      </c>
    </row>
    <row r="16" spans="5:8" x14ac:dyDescent="0.25">
      <c r="E16" s="148" t="s">
        <v>218</v>
      </c>
      <c r="H16">
        <v>50000</v>
      </c>
    </row>
    <row r="17" spans="5:8" x14ac:dyDescent="0.25">
      <c r="E17" s="148" t="s">
        <v>219</v>
      </c>
      <c r="H17">
        <f>H15*H16</f>
        <v>5000000</v>
      </c>
    </row>
    <row r="18" spans="5:8" x14ac:dyDescent="0.25">
      <c r="E18" s="148" t="s">
        <v>220</v>
      </c>
      <c r="H18" s="149">
        <f>H17/160</f>
        <v>31250</v>
      </c>
    </row>
    <row r="21" spans="5:8" x14ac:dyDescent="0.25">
      <c r="E21" s="148" t="s">
        <v>222</v>
      </c>
      <c r="F21" s="148"/>
      <c r="G21" s="148"/>
      <c r="H21" s="148"/>
    </row>
    <row r="23" spans="5:8" x14ac:dyDescent="0.25">
      <c r="E23" t="s">
        <v>216</v>
      </c>
      <c r="H23">
        <v>50</v>
      </c>
    </row>
    <row r="24" spans="5:8" x14ac:dyDescent="0.25">
      <c r="E24" s="148" t="s">
        <v>218</v>
      </c>
      <c r="H24">
        <v>50000</v>
      </c>
    </row>
    <row r="25" spans="5:8" x14ac:dyDescent="0.25">
      <c r="E25" s="148" t="s">
        <v>219</v>
      </c>
      <c r="H25">
        <f>H23*H24</f>
        <v>2500000</v>
      </c>
    </row>
    <row r="26" spans="5:8" x14ac:dyDescent="0.25">
      <c r="E26" s="148" t="s">
        <v>220</v>
      </c>
      <c r="H26" s="149">
        <f>H25/160</f>
        <v>15625</v>
      </c>
    </row>
    <row r="29" spans="5:8" x14ac:dyDescent="0.25">
      <c r="E29" s="148" t="s">
        <v>223</v>
      </c>
    </row>
    <row r="30" spans="5:8" x14ac:dyDescent="0.25">
      <c r="E30" t="s">
        <v>216</v>
      </c>
      <c r="H30">
        <v>25</v>
      </c>
    </row>
    <row r="31" spans="5:8" x14ac:dyDescent="0.25">
      <c r="E31" s="148" t="s">
        <v>218</v>
      </c>
      <c r="H31">
        <v>50000</v>
      </c>
    </row>
    <row r="32" spans="5:8" x14ac:dyDescent="0.25">
      <c r="E32" s="148" t="s">
        <v>219</v>
      </c>
      <c r="H32">
        <f>H30*H31</f>
        <v>1250000</v>
      </c>
    </row>
    <row r="33" spans="5:8" x14ac:dyDescent="0.25">
      <c r="E33" s="148" t="s">
        <v>220</v>
      </c>
      <c r="H33" s="149">
        <f>H32/160</f>
        <v>7812.5</v>
      </c>
    </row>
    <row r="37" spans="5:8" x14ac:dyDescent="0.25">
      <c r="E37" t="s">
        <v>224</v>
      </c>
      <c r="H37">
        <f>H33+H26+H18+H10</f>
        <v>101562.5</v>
      </c>
    </row>
    <row r="38" spans="5:8" x14ac:dyDescent="0.25">
      <c r="E38" t="s">
        <v>225</v>
      </c>
      <c r="H38">
        <v>100000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D3:K8"/>
  <sheetViews>
    <sheetView workbookViewId="0">
      <selection activeCell="J8" sqref="J8"/>
    </sheetView>
  </sheetViews>
  <sheetFormatPr defaultRowHeight="15" x14ac:dyDescent="0.25"/>
  <cols>
    <col min="10" max="10" width="16.7109375" bestFit="1" customWidth="1"/>
  </cols>
  <sheetData>
    <row r="3" spans="4:11" x14ac:dyDescent="0.25">
      <c r="D3" t="s">
        <v>97</v>
      </c>
      <c r="J3">
        <v>25</v>
      </c>
    </row>
    <row r="4" spans="4:11" x14ac:dyDescent="0.25">
      <c r="D4" t="s">
        <v>98</v>
      </c>
      <c r="J4">
        <v>1000</v>
      </c>
    </row>
    <row r="5" spans="4:11" x14ac:dyDescent="0.25">
      <c r="D5" t="s">
        <v>99</v>
      </c>
      <c r="J5">
        <v>2</v>
      </c>
      <c r="K5" t="s">
        <v>100</v>
      </c>
    </row>
    <row r="6" spans="4:11" x14ac:dyDescent="0.25">
      <c r="D6" t="s">
        <v>101</v>
      </c>
      <c r="J6">
        <f>2*100</f>
        <v>200</v>
      </c>
    </row>
    <row r="7" spans="4:11" x14ac:dyDescent="0.25">
      <c r="D7" t="s">
        <v>102</v>
      </c>
      <c r="J7" s="110">
        <f>300*200*500</f>
        <v>30000000</v>
      </c>
      <c r="K7" t="s">
        <v>95</v>
      </c>
    </row>
    <row r="8" spans="4:11" x14ac:dyDescent="0.25">
      <c r="J8" s="113">
        <f>J7/160</f>
        <v>187500</v>
      </c>
      <c r="K8" t="s">
        <v>82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E2:G14"/>
  <sheetViews>
    <sheetView workbookViewId="0">
      <selection activeCell="G17" sqref="G17"/>
    </sheetView>
  </sheetViews>
  <sheetFormatPr defaultRowHeight="15" x14ac:dyDescent="0.25"/>
  <cols>
    <col min="5" max="5" width="50" customWidth="1"/>
    <col min="6" max="6" width="15.28515625" bestFit="1" customWidth="1"/>
    <col min="7" max="7" width="29.42578125" customWidth="1"/>
  </cols>
  <sheetData>
    <row r="2" spans="5:7" x14ac:dyDescent="0.25">
      <c r="E2" s="111"/>
      <c r="F2" s="110"/>
    </row>
    <row r="3" spans="5:7" x14ac:dyDescent="0.25">
      <c r="E3" s="111"/>
      <c r="F3" s="110"/>
    </row>
    <row r="4" spans="5:7" x14ac:dyDescent="0.25">
      <c r="F4" s="110"/>
    </row>
    <row r="5" spans="5:7" x14ac:dyDescent="0.25">
      <c r="F5" s="110"/>
    </row>
    <row r="8" spans="5:7" ht="30" x14ac:dyDescent="0.25">
      <c r="E8" s="111" t="s">
        <v>186</v>
      </c>
      <c r="F8" s="144">
        <v>435</v>
      </c>
      <c r="G8" t="s">
        <v>193</v>
      </c>
    </row>
    <row r="9" spans="5:7" ht="30" x14ac:dyDescent="0.25">
      <c r="E9" s="111" t="s">
        <v>187</v>
      </c>
      <c r="F9">
        <v>0</v>
      </c>
    </row>
    <row r="10" spans="5:7" ht="30" x14ac:dyDescent="0.25">
      <c r="E10" s="111" t="s">
        <v>188</v>
      </c>
      <c r="F10" s="144">
        <v>25000</v>
      </c>
      <c r="G10" t="s">
        <v>194</v>
      </c>
    </row>
    <row r="11" spans="5:7" ht="30" x14ac:dyDescent="0.25">
      <c r="E11" s="111" t="s">
        <v>189</v>
      </c>
      <c r="F11" s="144">
        <f>F10*F8</f>
        <v>10875000</v>
      </c>
    </row>
    <row r="12" spans="5:7" x14ac:dyDescent="0.25">
      <c r="E12" s="111" t="s">
        <v>190</v>
      </c>
      <c r="F12" s="113">
        <f>F11/160</f>
        <v>67968.75</v>
      </c>
    </row>
    <row r="13" spans="5:7" x14ac:dyDescent="0.25">
      <c r="E13" s="111" t="s">
        <v>191</v>
      </c>
      <c r="F13" s="113">
        <f>F12*12</f>
        <v>815625</v>
      </c>
    </row>
    <row r="14" spans="5:7" x14ac:dyDescent="0.25">
      <c r="E14" s="111" t="s">
        <v>192</v>
      </c>
      <c r="F14" s="112">
        <v>800000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G3:J6"/>
  <sheetViews>
    <sheetView workbookViewId="0">
      <selection activeCell="J7" sqref="J7"/>
    </sheetView>
  </sheetViews>
  <sheetFormatPr defaultRowHeight="15" x14ac:dyDescent="0.25"/>
  <cols>
    <col min="7" max="7" width="37" customWidth="1"/>
    <col min="8" max="8" width="11.5703125" bestFit="1" customWidth="1"/>
    <col min="10" max="10" width="30.5703125" customWidth="1"/>
  </cols>
  <sheetData>
    <row r="3" spans="7:10" ht="30" x14ac:dyDescent="0.25">
      <c r="G3" s="111" t="s">
        <v>195</v>
      </c>
      <c r="H3">
        <v>20</v>
      </c>
      <c r="I3" t="s">
        <v>82</v>
      </c>
    </row>
    <row r="4" spans="7:10" ht="30" x14ac:dyDescent="0.25">
      <c r="G4" s="111" t="s">
        <v>196</v>
      </c>
      <c r="H4">
        <v>200</v>
      </c>
      <c r="I4" t="s">
        <v>197</v>
      </c>
      <c r="J4" s="111" t="s">
        <v>200</v>
      </c>
    </row>
    <row r="5" spans="7:10" ht="30" x14ac:dyDescent="0.25">
      <c r="G5" s="147" t="s">
        <v>198</v>
      </c>
      <c r="H5">
        <v>50</v>
      </c>
    </row>
    <row r="6" spans="7:10" ht="30" x14ac:dyDescent="0.25">
      <c r="G6" s="111" t="s">
        <v>199</v>
      </c>
      <c r="H6" s="110">
        <f>H3*H4*H5</f>
        <v>200000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F2:H4"/>
  <sheetViews>
    <sheetView workbookViewId="0">
      <selection activeCell="F5" sqref="F5"/>
    </sheetView>
  </sheetViews>
  <sheetFormatPr defaultRowHeight="15" x14ac:dyDescent="0.25"/>
  <cols>
    <col min="6" max="6" width="39.7109375" customWidth="1"/>
    <col min="8" max="8" width="35.140625" customWidth="1"/>
  </cols>
  <sheetData>
    <row r="2" spans="6:8" x14ac:dyDescent="0.25">
      <c r="F2" t="s">
        <v>201</v>
      </c>
      <c r="G2">
        <v>70000</v>
      </c>
      <c r="H2" t="s">
        <v>202</v>
      </c>
    </row>
    <row r="3" spans="6:8" ht="30" x14ac:dyDescent="0.25">
      <c r="F3" s="111" t="s">
        <v>203</v>
      </c>
      <c r="G3">
        <v>7.5</v>
      </c>
      <c r="H3" t="s">
        <v>205</v>
      </c>
    </row>
    <row r="4" spans="6:8" x14ac:dyDescent="0.25">
      <c r="F4" t="s">
        <v>204</v>
      </c>
      <c r="G4">
        <f>G2*G3</f>
        <v>525000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E2:J4"/>
  <sheetViews>
    <sheetView workbookViewId="0">
      <selection activeCell="J11" sqref="J11"/>
    </sheetView>
  </sheetViews>
  <sheetFormatPr defaultRowHeight="15" x14ac:dyDescent="0.25"/>
  <cols>
    <col min="9" max="9" width="13.28515625" bestFit="1" customWidth="1"/>
  </cols>
  <sheetData>
    <row r="2" spans="5:10" x14ac:dyDescent="0.25">
      <c r="E2" t="s">
        <v>115</v>
      </c>
      <c r="I2">
        <v>250</v>
      </c>
    </row>
    <row r="3" spans="5:10" x14ac:dyDescent="0.25">
      <c r="E3" t="s">
        <v>113</v>
      </c>
      <c r="I3">
        <v>250</v>
      </c>
    </row>
    <row r="4" spans="5:10" x14ac:dyDescent="0.25">
      <c r="E4" t="s">
        <v>114</v>
      </c>
      <c r="I4" s="110">
        <f>250*2500</f>
        <v>625000</v>
      </c>
      <c r="J4" t="s">
        <v>82</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5" x14ac:dyDescent="0.25"/>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D2:D32"/>
  <sheetViews>
    <sheetView topLeftCell="A16" workbookViewId="0">
      <selection activeCell="D33" sqref="D33"/>
    </sheetView>
  </sheetViews>
  <sheetFormatPr defaultRowHeight="15" x14ac:dyDescent="0.25"/>
  <sheetData>
    <row r="2" spans="4:4" x14ac:dyDescent="0.25">
      <c r="D2">
        <v>0.81</v>
      </c>
    </row>
    <row r="3" spans="4:4" x14ac:dyDescent="0.25">
      <c r="D3">
        <v>0.81</v>
      </c>
    </row>
    <row r="4" spans="4:4" x14ac:dyDescent="0.25">
      <c r="D4">
        <v>0.81</v>
      </c>
    </row>
    <row r="5" spans="4:4" x14ac:dyDescent="0.25">
      <c r="D5">
        <v>0.81</v>
      </c>
    </row>
    <row r="6" spans="4:4" x14ac:dyDescent="0.25">
      <c r="D6">
        <v>0.81</v>
      </c>
    </row>
    <row r="7" spans="4:4" x14ac:dyDescent="0.25">
      <c r="D7">
        <v>0.81</v>
      </c>
    </row>
    <row r="8" spans="4:4" x14ac:dyDescent="0.25">
      <c r="D8">
        <v>2.81</v>
      </c>
    </row>
    <row r="9" spans="4:4" x14ac:dyDescent="0.25">
      <c r="D9">
        <v>2.81</v>
      </c>
    </row>
    <row r="10" spans="4:4" x14ac:dyDescent="0.25">
      <c r="D10">
        <v>2.81</v>
      </c>
    </row>
    <row r="11" spans="4:4" x14ac:dyDescent="0.25">
      <c r="D11">
        <v>2.81</v>
      </c>
    </row>
    <row r="12" spans="4:4" x14ac:dyDescent="0.25">
      <c r="D12">
        <v>2.81</v>
      </c>
    </row>
    <row r="13" spans="4:4" x14ac:dyDescent="0.25">
      <c r="D13">
        <v>2.81</v>
      </c>
    </row>
    <row r="14" spans="4:4" x14ac:dyDescent="0.25">
      <c r="D14">
        <v>2.06</v>
      </c>
    </row>
    <row r="15" spans="4:4" x14ac:dyDescent="0.25">
      <c r="D15">
        <v>2.06</v>
      </c>
    </row>
    <row r="16" spans="4:4" x14ac:dyDescent="0.25">
      <c r="D16">
        <v>2.06</v>
      </c>
    </row>
    <row r="17" spans="4:4" x14ac:dyDescent="0.25">
      <c r="D17">
        <v>2.06</v>
      </c>
    </row>
    <row r="18" spans="4:4" x14ac:dyDescent="0.25">
      <c r="D18">
        <v>2.06</v>
      </c>
    </row>
    <row r="19" spans="4:4" x14ac:dyDescent="0.25">
      <c r="D19">
        <v>2.06</v>
      </c>
    </row>
    <row r="20" spans="4:4" x14ac:dyDescent="0.25">
      <c r="D20">
        <v>0.48</v>
      </c>
    </row>
    <row r="21" spans="4:4" x14ac:dyDescent="0.25">
      <c r="D21">
        <v>0.48</v>
      </c>
    </row>
    <row r="22" spans="4:4" x14ac:dyDescent="0.25">
      <c r="D22">
        <v>0.48</v>
      </c>
    </row>
    <row r="23" spans="4:4" x14ac:dyDescent="0.25">
      <c r="D23">
        <v>0.48</v>
      </c>
    </row>
    <row r="24" spans="4:4" x14ac:dyDescent="0.25">
      <c r="D24">
        <v>0.48</v>
      </c>
    </row>
    <row r="25" spans="4:4" x14ac:dyDescent="0.25">
      <c r="D25">
        <v>0.48</v>
      </c>
    </row>
    <row r="26" spans="4:4" x14ac:dyDescent="0.25">
      <c r="D26">
        <v>0.48</v>
      </c>
    </row>
    <row r="27" spans="4:4" x14ac:dyDescent="0.25">
      <c r="D27">
        <v>0.48</v>
      </c>
    </row>
    <row r="28" spans="4:4" x14ac:dyDescent="0.25">
      <c r="D28">
        <v>0.48</v>
      </c>
    </row>
    <row r="29" spans="4:4" x14ac:dyDescent="0.25">
      <c r="D29">
        <v>0.48</v>
      </c>
    </row>
    <row r="30" spans="4:4" x14ac:dyDescent="0.25">
      <c r="D30">
        <v>0.48</v>
      </c>
    </row>
    <row r="31" spans="4:4" x14ac:dyDescent="0.25">
      <c r="D31">
        <v>0.48</v>
      </c>
    </row>
    <row r="32" spans="4:4" x14ac:dyDescent="0.25">
      <c r="D32">
        <f>SUM(D2:D31)</f>
        <v>39.839999999999961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30"/>
  <sheetViews>
    <sheetView topLeftCell="A32" workbookViewId="0">
      <selection activeCell="B71" sqref="B71"/>
    </sheetView>
  </sheetViews>
  <sheetFormatPr defaultColWidth="24.7109375" defaultRowHeight="15" x14ac:dyDescent="0.25"/>
  <cols>
    <col min="1" max="1" width="6" style="1" customWidth="1"/>
    <col min="2" max="2" width="66" style="102" customWidth="1"/>
    <col min="3" max="3" width="15.28515625" style="1" customWidth="1"/>
    <col min="4" max="4" width="10.5703125" style="1" bestFit="1" customWidth="1"/>
    <col min="5" max="5" width="12.28515625" style="1" customWidth="1"/>
    <col min="6" max="6" width="11.7109375" style="1" customWidth="1"/>
    <col min="7" max="7" width="16.42578125" style="1" customWidth="1"/>
    <col min="8" max="8" width="10.5703125" style="1" customWidth="1"/>
    <col min="9" max="9" width="10.28515625" style="1" customWidth="1"/>
    <col min="10" max="10" width="10.42578125" style="1" customWidth="1"/>
    <col min="11" max="11" width="12.28515625" style="1" customWidth="1"/>
    <col min="12" max="13" width="10.7109375" style="1" customWidth="1"/>
    <col min="14" max="14" width="11.5703125" style="1" customWidth="1"/>
    <col min="15" max="15" width="10.7109375" style="1" customWidth="1"/>
    <col min="16" max="16" width="11.42578125" style="1" customWidth="1"/>
    <col min="17" max="17" width="11.28515625" style="1" customWidth="1"/>
    <col min="18" max="19" width="11.7109375" style="1" customWidth="1"/>
    <col min="20" max="20" width="11.42578125" style="1" customWidth="1"/>
    <col min="21" max="21" width="11.7109375" style="1" customWidth="1"/>
    <col min="22" max="22" width="12.28515625" style="1" customWidth="1"/>
    <col min="23" max="23" width="11.5703125" style="1" customWidth="1"/>
    <col min="24" max="24" width="13.28515625" style="2" customWidth="1"/>
    <col min="25" max="16384" width="24.7109375" style="1"/>
  </cols>
  <sheetData>
    <row r="1" spans="1:24" ht="24" thickBot="1" x14ac:dyDescent="0.3">
      <c r="B1" s="87" t="s">
        <v>0</v>
      </c>
    </row>
    <row r="2" spans="1:24" s="6" customFormat="1" ht="45" x14ac:dyDescent="0.25">
      <c r="B2" s="88" t="s">
        <v>1</v>
      </c>
      <c r="C2" s="3" t="s">
        <v>2</v>
      </c>
      <c r="D2" s="3" t="s">
        <v>3</v>
      </c>
      <c r="E2" s="4">
        <v>1</v>
      </c>
      <c r="F2" s="4">
        <v>2</v>
      </c>
      <c r="G2" s="4">
        <v>3</v>
      </c>
      <c r="H2" s="4">
        <v>4</v>
      </c>
      <c r="I2" s="4">
        <v>5</v>
      </c>
      <c r="J2" s="4">
        <v>6</v>
      </c>
      <c r="K2" s="3">
        <v>7</v>
      </c>
      <c r="L2" s="3">
        <v>8</v>
      </c>
      <c r="M2" s="3">
        <v>9</v>
      </c>
      <c r="N2" s="3">
        <v>10</v>
      </c>
      <c r="O2" s="3">
        <v>11</v>
      </c>
      <c r="P2" s="3">
        <v>12</v>
      </c>
      <c r="Q2" s="3">
        <v>13</v>
      </c>
      <c r="R2" s="3">
        <v>14</v>
      </c>
      <c r="S2" s="3">
        <v>15</v>
      </c>
      <c r="T2" s="3">
        <v>16</v>
      </c>
      <c r="U2" s="3">
        <v>17</v>
      </c>
      <c r="V2" s="3">
        <v>18</v>
      </c>
      <c r="W2" s="3">
        <v>19</v>
      </c>
      <c r="X2" s="5">
        <v>20</v>
      </c>
    </row>
    <row r="3" spans="1:24" s="6" customFormat="1" x14ac:dyDescent="0.25">
      <c r="B3" s="89" t="s">
        <v>4</v>
      </c>
      <c r="C3" s="114"/>
      <c r="D3" s="114"/>
      <c r="E3" s="114"/>
      <c r="F3" s="114"/>
      <c r="G3" s="114"/>
      <c r="H3" s="114"/>
      <c r="I3" s="114"/>
      <c r="J3" s="114"/>
      <c r="K3" s="7"/>
      <c r="L3" s="7"/>
      <c r="M3" s="7"/>
      <c r="N3" s="7"/>
      <c r="O3" s="7"/>
      <c r="P3" s="7"/>
      <c r="Q3" s="7"/>
      <c r="R3" s="7"/>
      <c r="S3" s="7"/>
      <c r="T3" s="7"/>
      <c r="U3" s="7"/>
      <c r="V3" s="7"/>
      <c r="W3" s="7"/>
      <c r="X3" s="8"/>
    </row>
    <row r="4" spans="1:24" s="6" customFormat="1" x14ac:dyDescent="0.25">
      <c r="B4" s="89" t="s">
        <v>5</v>
      </c>
      <c r="C4" s="114"/>
      <c r="D4" s="114"/>
      <c r="E4" s="114"/>
      <c r="F4" s="114"/>
      <c r="G4" s="114"/>
      <c r="H4" s="114"/>
      <c r="I4" s="114"/>
      <c r="J4" s="114"/>
      <c r="K4" s="7"/>
      <c r="L4" s="7"/>
      <c r="M4" s="7"/>
      <c r="N4" s="7"/>
      <c r="O4" s="7"/>
      <c r="P4" s="7"/>
      <c r="Q4" s="7"/>
      <c r="R4" s="7"/>
      <c r="S4" s="7"/>
      <c r="T4" s="7"/>
      <c r="U4" s="7"/>
      <c r="V4" s="7"/>
      <c r="W4" s="7"/>
      <c r="X4" s="8"/>
    </row>
    <row r="5" spans="1:24" s="10" customFormat="1" x14ac:dyDescent="0.25">
      <c r="A5" s="10">
        <v>1</v>
      </c>
      <c r="B5" s="90" t="s">
        <v>6</v>
      </c>
      <c r="C5" s="115">
        <v>4.96</v>
      </c>
      <c r="D5" s="115"/>
      <c r="E5" s="115">
        <v>0.49</v>
      </c>
      <c r="F5" s="115">
        <v>0.99</v>
      </c>
      <c r="G5" s="115">
        <v>1.49</v>
      </c>
      <c r="H5" s="115">
        <v>0.99</v>
      </c>
      <c r="I5" s="115">
        <v>0.497</v>
      </c>
      <c r="J5" s="115">
        <v>0.497</v>
      </c>
      <c r="K5" s="9"/>
      <c r="L5" s="9"/>
      <c r="M5" s="9"/>
      <c r="N5" s="9"/>
      <c r="O5" s="9"/>
      <c r="P5" s="9"/>
      <c r="Q5" s="9"/>
      <c r="R5" s="9"/>
      <c r="S5" s="9"/>
      <c r="T5" s="9"/>
      <c r="U5" s="9"/>
      <c r="V5" s="9"/>
      <c r="W5" s="9"/>
      <c r="X5" s="8"/>
    </row>
    <row r="6" spans="1:24" s="10" customFormat="1" ht="28.5" customHeight="1" x14ac:dyDescent="0.25">
      <c r="A6" s="10">
        <v>2</v>
      </c>
      <c r="B6" s="90" t="s">
        <v>7</v>
      </c>
      <c r="C6" s="115">
        <v>6.45</v>
      </c>
      <c r="D6" s="115"/>
      <c r="E6" s="115">
        <v>0.64500000000000002</v>
      </c>
      <c r="F6" s="115">
        <v>1.3</v>
      </c>
      <c r="G6" s="115">
        <v>1.9</v>
      </c>
      <c r="H6" s="115">
        <v>1.3</v>
      </c>
      <c r="I6" s="115">
        <v>0.64500000000000002</v>
      </c>
      <c r="J6" s="115">
        <v>0.65</v>
      </c>
      <c r="K6" s="9"/>
      <c r="L6" s="9"/>
      <c r="M6" s="9"/>
      <c r="N6" s="9"/>
      <c r="O6" s="9"/>
      <c r="P6" s="9"/>
      <c r="Q6" s="9"/>
      <c r="R6" s="9"/>
      <c r="S6" s="9"/>
      <c r="T6" s="9"/>
      <c r="U6" s="9"/>
      <c r="V6" s="9"/>
      <c r="W6" s="9"/>
      <c r="X6" s="8"/>
    </row>
    <row r="7" spans="1:24" s="10" customFormat="1" ht="31.5" customHeight="1" x14ac:dyDescent="0.25">
      <c r="A7" s="10">
        <v>4</v>
      </c>
      <c r="B7" s="90" t="s">
        <v>8</v>
      </c>
      <c r="C7" s="115">
        <v>2.9</v>
      </c>
      <c r="D7" s="115"/>
      <c r="E7" s="115">
        <v>0.255</v>
      </c>
      <c r="F7" s="115">
        <v>0.86</v>
      </c>
      <c r="G7" s="115">
        <v>0.8</v>
      </c>
      <c r="H7" s="115">
        <v>0.5</v>
      </c>
      <c r="I7" s="115">
        <v>0.26</v>
      </c>
      <c r="J7" s="115">
        <v>0.26</v>
      </c>
      <c r="K7" s="9"/>
      <c r="L7" s="9"/>
      <c r="M7" s="9"/>
      <c r="N7" s="9"/>
      <c r="O7" s="9"/>
      <c r="P7" s="9"/>
      <c r="Q7" s="9"/>
      <c r="R7" s="9"/>
      <c r="S7" s="9"/>
      <c r="T7" s="9"/>
      <c r="U7" s="9"/>
      <c r="V7" s="9"/>
      <c r="W7" s="9"/>
      <c r="X7" s="8"/>
    </row>
    <row r="8" spans="1:24" s="10" customFormat="1" ht="30" x14ac:dyDescent="0.25">
      <c r="A8" s="10">
        <v>2</v>
      </c>
      <c r="B8" s="90" t="s">
        <v>9</v>
      </c>
      <c r="C8" s="115">
        <v>1</v>
      </c>
      <c r="D8" s="115"/>
      <c r="E8" s="115">
        <v>0.1</v>
      </c>
      <c r="F8" s="115">
        <v>0.2</v>
      </c>
      <c r="G8" s="115">
        <v>0.3</v>
      </c>
      <c r="H8" s="115">
        <v>0.2</v>
      </c>
      <c r="I8" s="115">
        <v>0.1</v>
      </c>
      <c r="J8" s="115">
        <v>0.1</v>
      </c>
      <c r="K8" s="9"/>
      <c r="L8" s="9"/>
      <c r="M8" s="9"/>
      <c r="N8" s="9"/>
      <c r="O8" s="9"/>
      <c r="P8" s="9"/>
      <c r="Q8" s="9"/>
      <c r="R8" s="9"/>
      <c r="S8" s="9"/>
      <c r="T8" s="9"/>
      <c r="U8" s="9"/>
      <c r="V8" s="9"/>
      <c r="W8" s="9"/>
      <c r="X8" s="8"/>
    </row>
    <row r="9" spans="1:24" s="10" customFormat="1" x14ac:dyDescent="0.25">
      <c r="A9" s="10">
        <v>3</v>
      </c>
      <c r="B9" s="90" t="s">
        <v>10</v>
      </c>
      <c r="C9" s="115">
        <v>2</v>
      </c>
      <c r="D9" s="115"/>
      <c r="E9" s="115">
        <v>0.2</v>
      </c>
      <c r="F9" s="115">
        <v>0.4</v>
      </c>
      <c r="G9" s="115">
        <v>0.6</v>
      </c>
      <c r="H9" s="115">
        <v>0.4</v>
      </c>
      <c r="I9" s="115">
        <v>0.2</v>
      </c>
      <c r="J9" s="115">
        <v>0.2</v>
      </c>
      <c r="K9" s="9"/>
      <c r="L9" s="9"/>
      <c r="M9" s="9"/>
      <c r="N9" s="9"/>
      <c r="O9" s="9"/>
      <c r="P9" s="9"/>
      <c r="Q9" s="9"/>
      <c r="R9" s="9"/>
      <c r="S9" s="9"/>
      <c r="T9" s="9"/>
      <c r="U9" s="9"/>
      <c r="V9" s="9"/>
      <c r="W9" s="9"/>
      <c r="X9" s="8"/>
    </row>
    <row r="10" spans="1:24" s="10" customFormat="1" x14ac:dyDescent="0.25">
      <c r="A10" s="10">
        <v>2</v>
      </c>
      <c r="B10" s="90" t="s">
        <v>11</v>
      </c>
      <c r="C10" s="115">
        <v>4.38</v>
      </c>
      <c r="D10" s="115"/>
      <c r="E10" s="115">
        <v>0.44</v>
      </c>
      <c r="F10" s="115">
        <v>0.87</v>
      </c>
      <c r="G10" s="115">
        <v>1.3</v>
      </c>
      <c r="H10" s="115">
        <v>0.87</v>
      </c>
      <c r="I10" s="115">
        <v>0.44</v>
      </c>
      <c r="J10" s="115">
        <v>0.44</v>
      </c>
      <c r="K10" s="9"/>
      <c r="L10" s="9"/>
      <c r="M10" s="9"/>
      <c r="N10" s="9"/>
      <c r="O10" s="9"/>
      <c r="P10" s="9"/>
      <c r="Q10" s="9"/>
      <c r="R10" s="9"/>
      <c r="S10" s="9"/>
      <c r="T10" s="9"/>
      <c r="U10" s="9"/>
      <c r="V10" s="9"/>
      <c r="W10" s="9"/>
      <c r="X10" s="8"/>
    </row>
    <row r="11" spans="1:24" s="10" customFormat="1" ht="30" x14ac:dyDescent="0.25">
      <c r="A11" s="10">
        <v>3</v>
      </c>
      <c r="B11" s="90" t="s">
        <v>12</v>
      </c>
      <c r="C11" s="115">
        <v>2.5</v>
      </c>
      <c r="D11" s="115"/>
      <c r="E11" s="115">
        <v>0.25</v>
      </c>
      <c r="F11" s="115">
        <v>0.5</v>
      </c>
      <c r="G11" s="115">
        <v>0.75</v>
      </c>
      <c r="H11" s="115">
        <v>0.5</v>
      </c>
      <c r="I11" s="115">
        <v>0.25</v>
      </c>
      <c r="J11" s="115">
        <v>0.25</v>
      </c>
      <c r="K11" s="9"/>
      <c r="L11" s="9"/>
      <c r="M11" s="9"/>
      <c r="N11" s="9"/>
      <c r="O11" s="9"/>
      <c r="P11" s="9"/>
      <c r="Q11" s="9"/>
      <c r="R11" s="9"/>
      <c r="S11" s="9"/>
      <c r="T11" s="9"/>
      <c r="U11" s="9"/>
      <c r="V11" s="9"/>
      <c r="W11" s="9"/>
      <c r="X11" s="8"/>
    </row>
    <row r="12" spans="1:24" s="10" customFormat="1" ht="30" x14ac:dyDescent="0.25">
      <c r="A12" s="10">
        <v>5</v>
      </c>
      <c r="B12" s="90" t="s">
        <v>13</v>
      </c>
      <c r="C12" s="115">
        <v>2.12</v>
      </c>
      <c r="D12" s="115"/>
      <c r="E12" s="115">
        <v>0.21</v>
      </c>
      <c r="F12" s="115">
        <v>0.42</v>
      </c>
      <c r="G12" s="115">
        <v>0.64</v>
      </c>
      <c r="H12" s="115">
        <v>0.42</v>
      </c>
      <c r="I12" s="115">
        <v>0.21</v>
      </c>
      <c r="J12" s="115">
        <v>0.21</v>
      </c>
      <c r="K12" s="9"/>
      <c r="L12" s="9"/>
      <c r="M12" s="9"/>
      <c r="N12" s="9"/>
      <c r="O12" s="9"/>
      <c r="P12" s="9"/>
      <c r="Q12" s="9"/>
      <c r="R12" s="9"/>
      <c r="S12" s="9"/>
      <c r="T12" s="9"/>
      <c r="U12" s="9"/>
      <c r="V12" s="9"/>
      <c r="W12" s="9"/>
      <c r="X12" s="8"/>
    </row>
    <row r="13" spans="1:24" s="10" customFormat="1" ht="30" x14ac:dyDescent="0.25">
      <c r="A13" s="10">
        <v>3</v>
      </c>
      <c r="B13" s="90" t="s">
        <v>14</v>
      </c>
      <c r="C13" s="115">
        <v>1.92</v>
      </c>
      <c r="D13" s="115"/>
      <c r="E13" s="115">
        <v>0.19</v>
      </c>
      <c r="F13" s="115">
        <v>0.38</v>
      </c>
      <c r="G13" s="115">
        <v>0.57999999999999996</v>
      </c>
      <c r="H13" s="115">
        <v>0.38</v>
      </c>
      <c r="I13" s="115">
        <v>0.19</v>
      </c>
      <c r="J13" s="115">
        <v>0.19</v>
      </c>
      <c r="K13" s="9"/>
      <c r="L13" s="9"/>
      <c r="M13" s="9"/>
      <c r="N13" s="9"/>
      <c r="O13" s="9"/>
      <c r="P13" s="9"/>
      <c r="Q13" s="9"/>
      <c r="R13" s="9"/>
      <c r="S13" s="9"/>
      <c r="T13" s="9"/>
      <c r="U13" s="9"/>
      <c r="V13" s="9"/>
      <c r="W13" s="9"/>
      <c r="X13" s="8"/>
    </row>
    <row r="14" spans="1:24" s="10" customFormat="1" ht="30" x14ac:dyDescent="0.25">
      <c r="A14" s="10">
        <v>3</v>
      </c>
      <c r="B14" s="90" t="s">
        <v>15</v>
      </c>
      <c r="C14" s="115">
        <v>1.98</v>
      </c>
      <c r="D14" s="115"/>
      <c r="E14" s="115">
        <v>0.19</v>
      </c>
      <c r="F14" s="115">
        <v>0.38</v>
      </c>
      <c r="G14" s="115">
        <v>0.6</v>
      </c>
      <c r="H14" s="115">
        <v>0.38</v>
      </c>
      <c r="I14" s="115">
        <v>0.2</v>
      </c>
      <c r="J14" s="115">
        <v>0.2</v>
      </c>
      <c r="K14" s="9"/>
      <c r="L14" s="9"/>
      <c r="M14" s="9"/>
      <c r="N14" s="9"/>
      <c r="O14" s="9"/>
      <c r="P14" s="9"/>
      <c r="Q14" s="9"/>
      <c r="R14" s="9"/>
      <c r="S14" s="9"/>
      <c r="T14" s="9"/>
      <c r="U14" s="9"/>
      <c r="V14" s="9"/>
      <c r="W14" s="9"/>
      <c r="X14" s="8"/>
    </row>
    <row r="15" spans="1:24" s="10" customFormat="1" ht="30" x14ac:dyDescent="0.25">
      <c r="A15" s="10">
        <v>4</v>
      </c>
      <c r="B15" s="90" t="s">
        <v>16</v>
      </c>
      <c r="C15" s="115">
        <v>3.42</v>
      </c>
      <c r="D15" s="115"/>
      <c r="E15" s="115">
        <v>0.34</v>
      </c>
      <c r="F15" s="115">
        <v>0.68</v>
      </c>
      <c r="G15" s="115">
        <v>1</v>
      </c>
      <c r="H15" s="115">
        <v>0.68</v>
      </c>
      <c r="I15" s="115">
        <v>0.34</v>
      </c>
      <c r="J15" s="115">
        <v>0.34</v>
      </c>
      <c r="K15" s="9"/>
      <c r="L15" s="9"/>
      <c r="M15" s="9"/>
      <c r="N15" s="9"/>
      <c r="O15" s="9"/>
      <c r="P15" s="9"/>
      <c r="Q15" s="9"/>
      <c r="R15" s="9"/>
      <c r="S15" s="9"/>
      <c r="T15" s="9"/>
      <c r="U15" s="9"/>
      <c r="V15" s="9"/>
      <c r="W15" s="9"/>
      <c r="X15" s="8"/>
    </row>
    <row r="16" spans="1:24" s="10" customFormat="1" ht="30" x14ac:dyDescent="0.25">
      <c r="A16" s="10">
        <v>4</v>
      </c>
      <c r="B16" s="90" t="s">
        <v>17</v>
      </c>
      <c r="C16" s="115">
        <v>1</v>
      </c>
      <c r="D16" s="115"/>
      <c r="E16" s="115">
        <v>0.1</v>
      </c>
      <c r="F16" s="115">
        <v>0.2</v>
      </c>
      <c r="G16" s="115">
        <v>0.3</v>
      </c>
      <c r="H16" s="115">
        <v>0.2</v>
      </c>
      <c r="I16" s="115">
        <v>0.1</v>
      </c>
      <c r="J16" s="115">
        <v>0.1</v>
      </c>
      <c r="K16" s="9"/>
      <c r="L16" s="9"/>
      <c r="M16" s="9"/>
      <c r="N16" s="9"/>
      <c r="O16" s="9"/>
      <c r="P16" s="9"/>
      <c r="Q16" s="9"/>
      <c r="R16" s="9"/>
      <c r="S16" s="9"/>
      <c r="T16" s="9"/>
      <c r="U16" s="9"/>
      <c r="V16" s="9"/>
      <c r="W16" s="9"/>
      <c r="X16" s="8"/>
    </row>
    <row r="17" spans="1:24" s="10" customFormat="1" ht="30" x14ac:dyDescent="0.25">
      <c r="A17" s="10">
        <v>2</v>
      </c>
      <c r="B17" s="90" t="s">
        <v>18</v>
      </c>
      <c r="C17" s="115">
        <v>2</v>
      </c>
      <c r="D17" s="115"/>
      <c r="E17" s="115">
        <v>0.2</v>
      </c>
      <c r="F17" s="115">
        <v>0.4</v>
      </c>
      <c r="G17" s="115">
        <v>0.6</v>
      </c>
      <c r="H17" s="115">
        <v>0.4</v>
      </c>
      <c r="I17" s="115">
        <v>0.2</v>
      </c>
      <c r="J17" s="115">
        <v>0.2</v>
      </c>
      <c r="K17" s="9"/>
      <c r="L17" s="9"/>
      <c r="M17" s="9"/>
      <c r="N17" s="9"/>
      <c r="O17" s="9"/>
      <c r="P17" s="9"/>
      <c r="Q17" s="9"/>
      <c r="R17" s="9"/>
      <c r="S17" s="9"/>
      <c r="T17" s="9"/>
      <c r="U17" s="9"/>
      <c r="V17" s="9"/>
      <c r="W17" s="9"/>
      <c r="X17" s="8"/>
    </row>
    <row r="18" spans="1:24" s="10" customFormat="1" ht="45" x14ac:dyDescent="0.25">
      <c r="A18" s="10">
        <v>2</v>
      </c>
      <c r="B18" s="90" t="s">
        <v>19</v>
      </c>
      <c r="C18" s="115">
        <v>2</v>
      </c>
      <c r="D18" s="115"/>
      <c r="E18" s="115">
        <v>0.2</v>
      </c>
      <c r="F18" s="115">
        <v>0.4</v>
      </c>
      <c r="G18" s="115">
        <v>0.6</v>
      </c>
      <c r="H18" s="115">
        <v>0.4</v>
      </c>
      <c r="I18" s="115">
        <v>0.2</v>
      </c>
      <c r="J18" s="115">
        <v>0.2</v>
      </c>
      <c r="K18" s="9"/>
      <c r="L18" s="9"/>
      <c r="M18" s="9"/>
      <c r="N18" s="9"/>
      <c r="O18" s="9"/>
      <c r="P18" s="9"/>
      <c r="Q18" s="9"/>
      <c r="R18" s="9"/>
      <c r="S18" s="9"/>
      <c r="T18" s="9"/>
      <c r="U18" s="9"/>
      <c r="V18" s="9"/>
      <c r="W18" s="9"/>
      <c r="X18" s="8"/>
    </row>
    <row r="19" spans="1:24" s="10" customFormat="1" ht="30" x14ac:dyDescent="0.25">
      <c r="A19" s="10">
        <v>1</v>
      </c>
      <c r="B19" s="90" t="s">
        <v>20</v>
      </c>
      <c r="C19" s="115">
        <v>2</v>
      </c>
      <c r="D19" s="115"/>
      <c r="E19" s="115">
        <v>0.2</v>
      </c>
      <c r="F19" s="115">
        <v>0.4</v>
      </c>
      <c r="G19" s="115">
        <v>0.6</v>
      </c>
      <c r="H19" s="115">
        <v>0.4</v>
      </c>
      <c r="I19" s="115">
        <v>0.2</v>
      </c>
      <c r="J19" s="115">
        <v>0.2</v>
      </c>
      <c r="K19" s="9"/>
      <c r="L19" s="9"/>
      <c r="M19" s="9"/>
      <c r="N19" s="9"/>
      <c r="O19" s="9"/>
      <c r="P19" s="9"/>
      <c r="Q19" s="9"/>
      <c r="R19" s="9"/>
      <c r="S19" s="9"/>
      <c r="T19" s="9"/>
      <c r="U19" s="9"/>
      <c r="V19" s="9"/>
      <c r="W19" s="9"/>
      <c r="X19" s="8"/>
    </row>
    <row r="20" spans="1:24" s="10" customFormat="1" ht="30" x14ac:dyDescent="0.25">
      <c r="A20" s="10">
        <v>2</v>
      </c>
      <c r="B20" s="90" t="s">
        <v>21</v>
      </c>
      <c r="C20" s="115">
        <v>1.98</v>
      </c>
      <c r="D20" s="115"/>
      <c r="E20" s="115">
        <v>0.19700000000000001</v>
      </c>
      <c r="F20" s="115">
        <v>0.39500000000000002</v>
      </c>
      <c r="G20" s="115">
        <v>0.59199999999999997</v>
      </c>
      <c r="H20" s="115">
        <v>0.39500000000000002</v>
      </c>
      <c r="I20" s="115">
        <v>0.19700000000000001</v>
      </c>
      <c r="J20" s="115">
        <v>0.2</v>
      </c>
      <c r="K20" s="9"/>
      <c r="L20" s="9"/>
      <c r="M20" s="9"/>
      <c r="N20" s="9"/>
      <c r="O20" s="9"/>
      <c r="P20" s="9"/>
      <c r="Q20" s="9"/>
      <c r="R20" s="9"/>
      <c r="S20" s="9"/>
      <c r="T20" s="9"/>
      <c r="U20" s="9"/>
      <c r="V20" s="9"/>
      <c r="W20" s="9"/>
      <c r="X20" s="8"/>
    </row>
    <row r="21" spans="1:24" s="10" customFormat="1" ht="30" x14ac:dyDescent="0.25">
      <c r="A21" s="10">
        <v>5</v>
      </c>
      <c r="B21" s="90" t="s">
        <v>22</v>
      </c>
      <c r="C21" s="115">
        <v>2.76</v>
      </c>
      <c r="D21" s="115"/>
      <c r="E21" s="115">
        <v>0.27500000000000002</v>
      </c>
      <c r="F21" s="115">
        <v>0.55100000000000005</v>
      </c>
      <c r="G21" s="115">
        <v>0.82599999999999996</v>
      </c>
      <c r="H21" s="115">
        <v>0.55100000000000005</v>
      </c>
      <c r="I21" s="115">
        <v>0.27500000000000002</v>
      </c>
      <c r="J21" s="115">
        <v>0.27500000000000002</v>
      </c>
      <c r="K21" s="9"/>
      <c r="L21" s="9"/>
      <c r="M21" s="9"/>
      <c r="N21" s="9"/>
      <c r="O21" s="9"/>
      <c r="P21" s="9"/>
      <c r="Q21" s="9"/>
      <c r="R21" s="9"/>
      <c r="S21" s="9"/>
      <c r="T21" s="9"/>
      <c r="U21" s="9"/>
      <c r="V21" s="9"/>
      <c r="W21" s="9"/>
      <c r="X21" s="8"/>
    </row>
    <row r="22" spans="1:24" s="10" customFormat="1" ht="45" x14ac:dyDescent="0.25">
      <c r="A22" s="10">
        <v>3</v>
      </c>
      <c r="B22" s="90" t="s">
        <v>23</v>
      </c>
      <c r="C22" s="115">
        <v>1.5</v>
      </c>
      <c r="D22" s="115"/>
      <c r="E22" s="115">
        <v>0.15</v>
      </c>
      <c r="F22" s="115">
        <v>0.3</v>
      </c>
      <c r="G22" s="115">
        <v>0.45</v>
      </c>
      <c r="H22" s="115">
        <v>0.3</v>
      </c>
      <c r="I22" s="115">
        <v>0.15</v>
      </c>
      <c r="J22" s="115">
        <v>0.15</v>
      </c>
      <c r="K22" s="9"/>
      <c r="L22" s="9"/>
      <c r="M22" s="9"/>
      <c r="N22" s="9"/>
      <c r="O22" s="9"/>
      <c r="P22" s="9"/>
      <c r="Q22" s="9"/>
      <c r="R22" s="9"/>
      <c r="S22" s="9"/>
      <c r="T22" s="9"/>
      <c r="U22" s="9"/>
      <c r="V22" s="9"/>
      <c r="W22" s="9"/>
      <c r="X22" s="8"/>
    </row>
    <row r="23" spans="1:24" s="10" customFormat="1" x14ac:dyDescent="0.25">
      <c r="A23" s="10">
        <v>6</v>
      </c>
      <c r="B23" s="90" t="s">
        <v>24</v>
      </c>
      <c r="C23" s="115">
        <v>2.06</v>
      </c>
      <c r="D23" s="115"/>
      <c r="E23" s="115">
        <v>0.44</v>
      </c>
      <c r="F23" s="115">
        <v>0.33200000000000002</v>
      </c>
      <c r="G23" s="115">
        <v>0.375</v>
      </c>
      <c r="H23" s="115">
        <v>0.35099999999999998</v>
      </c>
      <c r="I23" s="115">
        <v>0.28199999999999997</v>
      </c>
      <c r="J23" s="115">
        <v>0.28199999999999997</v>
      </c>
      <c r="K23" s="9"/>
      <c r="L23" s="9"/>
      <c r="M23" s="9"/>
      <c r="N23" s="9"/>
      <c r="O23" s="9"/>
      <c r="P23" s="9"/>
      <c r="Q23" s="9"/>
      <c r="R23" s="9"/>
      <c r="S23" s="9"/>
      <c r="T23" s="9"/>
      <c r="U23" s="9"/>
      <c r="V23" s="9"/>
      <c r="W23" s="9"/>
      <c r="X23" s="8"/>
    </row>
    <row r="24" spans="1:24" s="10" customFormat="1" x14ac:dyDescent="0.25">
      <c r="B24" s="90"/>
      <c r="C24" s="115"/>
      <c r="D24" s="115"/>
      <c r="E24" s="115"/>
      <c r="F24" s="115"/>
      <c r="G24" s="115"/>
      <c r="H24" s="115"/>
      <c r="I24" s="115"/>
      <c r="J24" s="115"/>
      <c r="K24" s="9"/>
      <c r="L24" s="9"/>
      <c r="M24" s="9"/>
      <c r="N24" s="9"/>
      <c r="O24" s="9"/>
      <c r="P24" s="9"/>
      <c r="Q24" s="9"/>
      <c r="R24" s="9"/>
      <c r="S24" s="9"/>
      <c r="T24" s="9"/>
      <c r="U24" s="9"/>
      <c r="V24" s="9"/>
      <c r="W24" s="9"/>
      <c r="X24" s="11"/>
    </row>
    <row r="25" spans="1:24" s="6" customFormat="1" x14ac:dyDescent="0.25">
      <c r="B25" s="91"/>
      <c r="C25" s="7"/>
      <c r="D25" s="7"/>
      <c r="E25" s="7"/>
      <c r="F25" s="7"/>
      <c r="G25" s="7"/>
      <c r="H25" s="7"/>
      <c r="I25" s="7"/>
      <c r="J25" s="7"/>
      <c r="K25" s="7"/>
      <c r="L25" s="7"/>
      <c r="M25" s="7"/>
      <c r="N25" s="7"/>
      <c r="O25" s="7"/>
      <c r="P25" s="7"/>
      <c r="Q25" s="7"/>
      <c r="R25" s="7"/>
      <c r="S25" s="7"/>
      <c r="T25" s="7"/>
      <c r="U25" s="7"/>
      <c r="V25" s="7"/>
      <c r="W25" s="7"/>
      <c r="X25" s="8"/>
    </row>
    <row r="26" spans="1:24" s="6" customFormat="1" x14ac:dyDescent="0.25">
      <c r="B26" s="92"/>
      <c r="C26" s="7"/>
      <c r="D26" s="7"/>
      <c r="E26" s="7"/>
      <c r="F26" s="7"/>
      <c r="G26" s="7"/>
      <c r="H26" s="7"/>
      <c r="I26" s="7"/>
      <c r="J26" s="7"/>
      <c r="K26" s="7"/>
      <c r="L26" s="7"/>
      <c r="M26" s="7"/>
      <c r="N26" s="7"/>
      <c r="O26" s="7"/>
      <c r="P26" s="7"/>
      <c r="Q26" s="7"/>
      <c r="R26" s="7"/>
      <c r="S26" s="7"/>
      <c r="T26" s="7"/>
      <c r="U26" s="7"/>
      <c r="V26" s="7"/>
      <c r="W26" s="7"/>
      <c r="X26" s="8"/>
    </row>
    <row r="27" spans="1:24" s="6" customFormat="1" x14ac:dyDescent="0.25">
      <c r="B27" s="91"/>
      <c r="C27" s="7"/>
      <c r="D27" s="7"/>
      <c r="E27" s="7"/>
      <c r="F27" s="7"/>
      <c r="G27" s="7"/>
      <c r="H27" s="7"/>
      <c r="I27" s="7"/>
      <c r="J27" s="7"/>
      <c r="K27" s="7"/>
      <c r="L27" s="7"/>
      <c r="M27" s="7"/>
      <c r="N27" s="7"/>
      <c r="O27" s="7"/>
      <c r="P27" s="7"/>
      <c r="Q27" s="7"/>
      <c r="R27" s="7"/>
      <c r="S27" s="7"/>
      <c r="T27" s="7"/>
      <c r="U27" s="7"/>
      <c r="V27" s="7"/>
      <c r="W27" s="7"/>
      <c r="X27" s="8"/>
    </row>
    <row r="28" spans="1:24" s="6" customFormat="1" x14ac:dyDescent="0.25">
      <c r="B28" s="91"/>
      <c r="C28" s="7"/>
      <c r="D28" s="7"/>
      <c r="E28" s="7"/>
      <c r="F28" s="7"/>
      <c r="G28" s="7"/>
      <c r="H28" s="7"/>
      <c r="I28" s="7"/>
      <c r="J28" s="7"/>
      <c r="K28" s="7"/>
      <c r="L28" s="7"/>
      <c r="M28" s="7"/>
      <c r="N28" s="7"/>
      <c r="O28" s="7"/>
      <c r="P28" s="7"/>
      <c r="Q28" s="7"/>
      <c r="R28" s="7"/>
      <c r="S28" s="7"/>
      <c r="T28" s="7"/>
      <c r="U28" s="7"/>
      <c r="V28" s="7"/>
      <c r="W28" s="7"/>
      <c r="X28" s="8"/>
    </row>
    <row r="29" spans="1:24" s="14" customFormat="1" x14ac:dyDescent="0.25">
      <c r="B29" s="93" t="s">
        <v>25</v>
      </c>
      <c r="C29" s="12">
        <f>SUM(C5:C28)</f>
        <v>48.93</v>
      </c>
      <c r="D29" s="12">
        <v>1</v>
      </c>
      <c r="E29" s="12">
        <f t="shared" ref="E29:X29" si="0">SUM(E5:E28)</f>
        <v>5.0720000000000018</v>
      </c>
      <c r="F29" s="12">
        <f t="shared" si="0"/>
        <v>9.958000000000002</v>
      </c>
      <c r="G29" s="12">
        <f t="shared" si="0"/>
        <v>14.302999999999997</v>
      </c>
      <c r="H29" s="12">
        <f t="shared" si="0"/>
        <v>9.6170000000000009</v>
      </c>
      <c r="I29" s="12">
        <f t="shared" si="0"/>
        <v>4.9360000000000008</v>
      </c>
      <c r="J29" s="12">
        <f t="shared" si="0"/>
        <v>4.9440000000000017</v>
      </c>
      <c r="K29" s="12">
        <f t="shared" si="0"/>
        <v>0</v>
      </c>
      <c r="L29" s="12">
        <f t="shared" si="0"/>
        <v>0</v>
      </c>
      <c r="M29" s="12">
        <f t="shared" si="0"/>
        <v>0</v>
      </c>
      <c r="N29" s="12">
        <f t="shared" si="0"/>
        <v>0</v>
      </c>
      <c r="O29" s="12">
        <f t="shared" si="0"/>
        <v>0</v>
      </c>
      <c r="P29" s="12">
        <f t="shared" si="0"/>
        <v>0</v>
      </c>
      <c r="Q29" s="12">
        <f t="shared" si="0"/>
        <v>0</v>
      </c>
      <c r="R29" s="12">
        <f t="shared" si="0"/>
        <v>0</v>
      </c>
      <c r="S29" s="12">
        <f t="shared" si="0"/>
        <v>0</v>
      </c>
      <c r="T29" s="12">
        <f t="shared" si="0"/>
        <v>0</v>
      </c>
      <c r="U29" s="12">
        <f t="shared" si="0"/>
        <v>0</v>
      </c>
      <c r="V29" s="12">
        <f t="shared" si="0"/>
        <v>0</v>
      </c>
      <c r="W29" s="12">
        <f t="shared" si="0"/>
        <v>0</v>
      </c>
      <c r="X29" s="13">
        <f t="shared" si="0"/>
        <v>0</v>
      </c>
    </row>
    <row r="30" spans="1:24" s="16" customFormat="1" x14ac:dyDescent="0.25">
      <c r="B30" s="93" t="s">
        <v>26</v>
      </c>
      <c r="C30" s="15">
        <f>C29/100*110</f>
        <v>53.823</v>
      </c>
      <c r="D30" s="15"/>
      <c r="E30" s="15">
        <f>E29/100*110</f>
        <v>5.5792000000000019</v>
      </c>
      <c r="F30" s="15">
        <f t="shared" ref="F30:X30" si="1">F29/100*110</f>
        <v>10.953800000000001</v>
      </c>
      <c r="G30" s="15">
        <f t="shared" si="1"/>
        <v>15.733299999999996</v>
      </c>
      <c r="H30" s="15">
        <f t="shared" si="1"/>
        <v>10.578700000000001</v>
      </c>
      <c r="I30" s="15">
        <f t="shared" si="1"/>
        <v>5.4296000000000006</v>
      </c>
      <c r="J30" s="15">
        <f t="shared" si="1"/>
        <v>5.4384000000000023</v>
      </c>
      <c r="K30" s="15">
        <f t="shared" si="1"/>
        <v>0</v>
      </c>
      <c r="L30" s="15">
        <f t="shared" si="1"/>
        <v>0</v>
      </c>
      <c r="M30" s="15">
        <f t="shared" si="1"/>
        <v>0</v>
      </c>
      <c r="N30" s="15">
        <f t="shared" si="1"/>
        <v>0</v>
      </c>
      <c r="O30" s="15">
        <f t="shared" si="1"/>
        <v>0</v>
      </c>
      <c r="P30" s="15">
        <f t="shared" si="1"/>
        <v>0</v>
      </c>
      <c r="Q30" s="15">
        <f t="shared" si="1"/>
        <v>0</v>
      </c>
      <c r="R30" s="15">
        <f t="shared" si="1"/>
        <v>0</v>
      </c>
      <c r="S30" s="15">
        <f t="shared" si="1"/>
        <v>0</v>
      </c>
      <c r="T30" s="15">
        <f t="shared" si="1"/>
        <v>0</v>
      </c>
      <c r="U30" s="15">
        <f t="shared" si="1"/>
        <v>0</v>
      </c>
      <c r="V30" s="15">
        <f t="shared" si="1"/>
        <v>0</v>
      </c>
      <c r="W30" s="15">
        <f t="shared" si="1"/>
        <v>0</v>
      </c>
      <c r="X30" s="15">
        <f t="shared" si="1"/>
        <v>0</v>
      </c>
    </row>
    <row r="31" spans="1:24" x14ac:dyDescent="0.25">
      <c r="B31" s="94"/>
      <c r="C31" s="17"/>
      <c r="D31" s="17"/>
      <c r="E31" s="17"/>
      <c r="F31" s="17"/>
      <c r="G31" s="17"/>
      <c r="H31" s="17"/>
      <c r="I31" s="17"/>
      <c r="J31" s="17"/>
      <c r="K31" s="17"/>
      <c r="L31" s="17"/>
      <c r="M31" s="17"/>
      <c r="N31" s="17"/>
      <c r="O31" s="17"/>
      <c r="P31" s="17"/>
      <c r="Q31" s="17"/>
      <c r="R31" s="17"/>
      <c r="S31" s="17"/>
      <c r="T31" s="17"/>
      <c r="U31" s="17"/>
      <c r="V31" s="17"/>
      <c r="W31" s="17"/>
      <c r="X31" s="18"/>
    </row>
    <row r="32" spans="1:24" x14ac:dyDescent="0.25">
      <c r="B32" s="95"/>
      <c r="C32" s="17"/>
      <c r="D32" s="17"/>
      <c r="E32" s="17"/>
      <c r="F32" s="17"/>
      <c r="G32" s="17"/>
      <c r="H32" s="17"/>
      <c r="I32" s="17"/>
      <c r="J32" s="17"/>
      <c r="K32" s="17"/>
      <c r="L32" s="17"/>
      <c r="M32" s="17"/>
      <c r="N32" s="17"/>
      <c r="O32" s="17"/>
      <c r="P32" s="17"/>
      <c r="Q32" s="17"/>
      <c r="R32" s="17"/>
      <c r="S32" s="17"/>
      <c r="T32" s="17"/>
      <c r="U32" s="17"/>
      <c r="V32" s="17"/>
      <c r="W32" s="17"/>
      <c r="X32" s="18"/>
    </row>
    <row r="33" spans="1:25" x14ac:dyDescent="0.25">
      <c r="B33" s="96" t="s">
        <v>27</v>
      </c>
      <c r="C33" s="19"/>
      <c r="D33" s="19"/>
      <c r="E33" s="19"/>
      <c r="F33" s="19"/>
      <c r="G33" s="17"/>
      <c r="H33" s="17"/>
      <c r="I33" s="17"/>
      <c r="J33" s="17"/>
      <c r="K33" s="17"/>
      <c r="L33" s="17"/>
      <c r="M33" s="17"/>
      <c r="N33" s="17"/>
      <c r="O33" s="17"/>
      <c r="P33" s="17"/>
      <c r="Q33" s="17"/>
      <c r="R33" s="17"/>
      <c r="S33" s="17"/>
      <c r="T33" s="17"/>
      <c r="U33" s="17"/>
      <c r="V33" s="17"/>
      <c r="W33" s="17"/>
      <c r="X33" s="18"/>
    </row>
    <row r="34" spans="1:25" x14ac:dyDescent="0.25">
      <c r="B34" s="96"/>
      <c r="C34" s="19"/>
      <c r="D34" s="19"/>
      <c r="E34" s="19"/>
      <c r="F34" s="19"/>
      <c r="G34" s="17"/>
      <c r="H34" s="17"/>
      <c r="I34" s="17"/>
      <c r="J34" s="17"/>
      <c r="K34" s="17"/>
      <c r="L34" s="17"/>
      <c r="M34" s="17"/>
      <c r="N34" s="17"/>
      <c r="O34" s="17"/>
      <c r="P34" s="17"/>
      <c r="Q34" s="17"/>
      <c r="R34" s="17"/>
      <c r="S34" s="17"/>
      <c r="T34" s="17"/>
      <c r="U34" s="17"/>
      <c r="V34" s="17"/>
      <c r="W34" s="17"/>
      <c r="X34" s="20"/>
    </row>
    <row r="35" spans="1:25" ht="35.25" customHeight="1" x14ac:dyDescent="0.25">
      <c r="A35" s="1">
        <v>1</v>
      </c>
      <c r="B35" s="86" t="s">
        <v>117</v>
      </c>
      <c r="C35" s="19">
        <v>2.7</v>
      </c>
      <c r="D35" s="19"/>
      <c r="E35" s="19"/>
      <c r="F35" s="19"/>
      <c r="G35" s="17">
        <v>0.15</v>
      </c>
      <c r="H35" s="17">
        <v>0.15</v>
      </c>
      <c r="I35" s="17">
        <v>0.15</v>
      </c>
      <c r="J35" s="17">
        <v>0.15</v>
      </c>
      <c r="K35" s="17">
        <v>0.15</v>
      </c>
      <c r="L35" s="17">
        <v>0.15</v>
      </c>
      <c r="M35" s="17">
        <v>0.15</v>
      </c>
      <c r="N35" s="17">
        <v>0.15</v>
      </c>
      <c r="O35" s="17">
        <v>0.15</v>
      </c>
      <c r="P35" s="17">
        <v>0.15</v>
      </c>
      <c r="Q35" s="17">
        <v>0.15</v>
      </c>
      <c r="R35" s="17">
        <v>0.15</v>
      </c>
      <c r="S35" s="17">
        <v>0.15</v>
      </c>
      <c r="T35" s="17">
        <v>0.15</v>
      </c>
      <c r="U35" s="17">
        <v>0.15</v>
      </c>
      <c r="V35" s="17">
        <v>0.15</v>
      </c>
      <c r="W35" s="17">
        <v>0.15</v>
      </c>
      <c r="X35" s="17">
        <v>0.15</v>
      </c>
    </row>
    <row r="36" spans="1:25" ht="37.5" customHeight="1" x14ac:dyDescent="0.25">
      <c r="A36" s="1">
        <v>2</v>
      </c>
      <c r="B36" s="86" t="s">
        <v>118</v>
      </c>
      <c r="C36" s="19">
        <v>72</v>
      </c>
      <c r="D36" s="19"/>
      <c r="E36" s="19"/>
      <c r="F36" s="19"/>
      <c r="G36" s="17">
        <v>4</v>
      </c>
      <c r="H36" s="17">
        <v>4</v>
      </c>
      <c r="I36" s="17">
        <v>4</v>
      </c>
      <c r="J36" s="17">
        <v>4</v>
      </c>
      <c r="K36" s="17">
        <v>4</v>
      </c>
      <c r="L36" s="17">
        <v>4</v>
      </c>
      <c r="M36" s="17">
        <v>4</v>
      </c>
      <c r="N36" s="17">
        <v>4</v>
      </c>
      <c r="O36" s="17">
        <v>4</v>
      </c>
      <c r="P36" s="17">
        <v>4</v>
      </c>
      <c r="Q36" s="17">
        <v>4</v>
      </c>
      <c r="R36" s="17">
        <v>4</v>
      </c>
      <c r="S36" s="17">
        <v>4</v>
      </c>
      <c r="T36" s="17">
        <v>4</v>
      </c>
      <c r="U36" s="17">
        <v>4</v>
      </c>
      <c r="V36" s="17">
        <v>4</v>
      </c>
      <c r="W36" s="17">
        <v>4</v>
      </c>
      <c r="X36" s="17">
        <v>4</v>
      </c>
    </row>
    <row r="37" spans="1:25" ht="32.25" customHeight="1" x14ac:dyDescent="0.25">
      <c r="A37" s="1">
        <v>3</v>
      </c>
      <c r="B37" s="86" t="s">
        <v>119</v>
      </c>
      <c r="C37" s="19">
        <v>36</v>
      </c>
      <c r="D37" s="19"/>
      <c r="E37" s="19"/>
      <c r="F37" s="19"/>
      <c r="G37" s="17">
        <v>2</v>
      </c>
      <c r="H37" s="17">
        <v>2</v>
      </c>
      <c r="I37" s="17">
        <v>2</v>
      </c>
      <c r="J37" s="17">
        <v>2</v>
      </c>
      <c r="K37" s="17">
        <v>2</v>
      </c>
      <c r="L37" s="17">
        <v>2</v>
      </c>
      <c r="M37" s="17">
        <v>2</v>
      </c>
      <c r="N37" s="17">
        <v>2</v>
      </c>
      <c r="O37" s="17">
        <v>2</v>
      </c>
      <c r="P37" s="17">
        <v>2</v>
      </c>
      <c r="Q37" s="17">
        <v>2</v>
      </c>
      <c r="R37" s="17">
        <v>2</v>
      </c>
      <c r="S37" s="17">
        <v>2</v>
      </c>
      <c r="T37" s="17">
        <v>2</v>
      </c>
      <c r="U37" s="17">
        <v>2</v>
      </c>
      <c r="V37" s="17">
        <v>2</v>
      </c>
      <c r="W37" s="17">
        <v>2</v>
      </c>
      <c r="X37" s="17">
        <v>2</v>
      </c>
    </row>
    <row r="38" spans="1:25" ht="30.75" customHeight="1" x14ac:dyDescent="0.25">
      <c r="A38" s="1">
        <v>5</v>
      </c>
      <c r="B38" s="86" t="s">
        <v>120</v>
      </c>
      <c r="C38" s="19">
        <v>27</v>
      </c>
      <c r="D38" s="19"/>
      <c r="E38" s="19"/>
      <c r="F38" s="19"/>
      <c r="G38" s="17">
        <v>1.5</v>
      </c>
      <c r="H38" s="17">
        <v>1.5</v>
      </c>
      <c r="I38" s="17">
        <v>1.5</v>
      </c>
      <c r="J38" s="17">
        <v>1.5</v>
      </c>
      <c r="K38" s="17">
        <v>1.5</v>
      </c>
      <c r="L38" s="17">
        <v>1.5</v>
      </c>
      <c r="M38" s="17">
        <v>1.5</v>
      </c>
      <c r="N38" s="17">
        <v>1.5</v>
      </c>
      <c r="O38" s="17">
        <v>1.5</v>
      </c>
      <c r="P38" s="17">
        <v>1.5</v>
      </c>
      <c r="Q38" s="17">
        <v>1.5</v>
      </c>
      <c r="R38" s="17">
        <v>1.5</v>
      </c>
      <c r="S38" s="17">
        <v>1.5</v>
      </c>
      <c r="T38" s="17">
        <v>1.5</v>
      </c>
      <c r="U38" s="17">
        <v>1.5</v>
      </c>
      <c r="V38" s="17">
        <v>1.5</v>
      </c>
      <c r="W38" s="17">
        <v>1.5</v>
      </c>
      <c r="X38" s="17">
        <v>1.5</v>
      </c>
    </row>
    <row r="39" spans="1:25" ht="33.75" customHeight="1" x14ac:dyDescent="0.25">
      <c r="A39" s="1">
        <v>1</v>
      </c>
      <c r="B39" s="86" t="s">
        <v>121</v>
      </c>
      <c r="C39" s="19">
        <v>14.4</v>
      </c>
      <c r="D39" s="19"/>
      <c r="E39" s="19"/>
      <c r="F39" s="19"/>
      <c r="G39" s="17">
        <v>0.8</v>
      </c>
      <c r="H39" s="17">
        <v>0.8</v>
      </c>
      <c r="I39" s="17">
        <v>0.8</v>
      </c>
      <c r="J39" s="17">
        <v>0.8</v>
      </c>
      <c r="K39" s="17">
        <v>0.8</v>
      </c>
      <c r="L39" s="17">
        <v>0.8</v>
      </c>
      <c r="M39" s="17">
        <v>0.8</v>
      </c>
      <c r="N39" s="17">
        <v>0.8</v>
      </c>
      <c r="O39" s="17">
        <v>0.8</v>
      </c>
      <c r="P39" s="17">
        <v>0.8</v>
      </c>
      <c r="Q39" s="17">
        <v>0.8</v>
      </c>
      <c r="R39" s="17">
        <v>0.8</v>
      </c>
      <c r="S39" s="17">
        <v>0.8</v>
      </c>
      <c r="T39" s="17">
        <v>0.8</v>
      </c>
      <c r="U39" s="17">
        <v>0.8</v>
      </c>
      <c r="V39" s="17">
        <v>0.8</v>
      </c>
      <c r="W39" s="17">
        <v>0.8</v>
      </c>
      <c r="X39" s="17">
        <v>0.8</v>
      </c>
    </row>
    <row r="40" spans="1:25" ht="34.5" customHeight="1" x14ac:dyDescent="0.25">
      <c r="A40" s="1">
        <v>2</v>
      </c>
      <c r="B40" s="86"/>
      <c r="C40" s="19"/>
      <c r="D40" s="19"/>
      <c r="E40" s="19"/>
      <c r="F40" s="19"/>
      <c r="G40" s="17"/>
      <c r="H40" s="17"/>
      <c r="I40" s="17"/>
      <c r="J40" s="17"/>
      <c r="K40" s="17"/>
      <c r="L40" s="17"/>
      <c r="M40" s="17"/>
      <c r="N40" s="17"/>
      <c r="O40" s="17"/>
      <c r="P40" s="17"/>
      <c r="Q40" s="17"/>
      <c r="R40" s="17"/>
      <c r="S40" s="17"/>
      <c r="T40" s="17"/>
      <c r="U40" s="17"/>
      <c r="V40" s="17"/>
      <c r="W40" s="17"/>
      <c r="X40" s="17"/>
    </row>
    <row r="41" spans="1:25" ht="36" customHeight="1" x14ac:dyDescent="0.25">
      <c r="A41" s="1">
        <v>2</v>
      </c>
      <c r="B41" s="107"/>
      <c r="C41" s="19"/>
      <c r="D41" s="19"/>
      <c r="E41" s="19"/>
      <c r="F41" s="19"/>
      <c r="G41" s="17"/>
      <c r="H41" s="17"/>
      <c r="I41" s="17"/>
      <c r="J41" s="17"/>
      <c r="K41" s="17"/>
      <c r="L41" s="17"/>
      <c r="M41" s="17"/>
      <c r="N41" s="17"/>
      <c r="O41" s="17"/>
      <c r="P41" s="17"/>
      <c r="Q41" s="17"/>
      <c r="R41" s="17"/>
      <c r="S41" s="17"/>
      <c r="T41" s="17"/>
      <c r="U41" s="17"/>
      <c r="V41" s="17"/>
      <c r="W41" s="17"/>
      <c r="X41" s="17"/>
    </row>
    <row r="42" spans="1:25" ht="42" customHeight="1" x14ac:dyDescent="0.25">
      <c r="A42" s="1">
        <v>4</v>
      </c>
      <c r="B42" s="97"/>
      <c r="C42" s="19"/>
      <c r="D42" s="19"/>
      <c r="E42" s="19"/>
      <c r="F42" s="19"/>
      <c r="G42" s="17"/>
      <c r="H42" s="17"/>
      <c r="I42" s="17"/>
      <c r="J42" s="17"/>
      <c r="K42" s="17"/>
      <c r="L42" s="17"/>
      <c r="M42" s="17"/>
      <c r="N42" s="17"/>
      <c r="O42" s="17"/>
      <c r="P42" s="17"/>
      <c r="Q42" s="17"/>
      <c r="R42" s="17"/>
      <c r="S42" s="17"/>
      <c r="T42" s="17"/>
      <c r="U42" s="17"/>
      <c r="V42" s="17"/>
      <c r="W42" s="17"/>
      <c r="X42" s="17"/>
      <c r="Y42" s="17"/>
    </row>
    <row r="43" spans="1:25" ht="33.75" customHeight="1" x14ac:dyDescent="0.25">
      <c r="A43" s="1">
        <v>2</v>
      </c>
      <c r="B43" s="97"/>
      <c r="C43" s="19"/>
      <c r="D43" s="19"/>
      <c r="E43" s="19"/>
      <c r="F43" s="19"/>
      <c r="G43" s="17"/>
      <c r="H43" s="17"/>
      <c r="I43" s="17"/>
      <c r="J43" s="17"/>
      <c r="K43" s="17"/>
      <c r="L43" s="17"/>
      <c r="M43" s="17"/>
      <c r="N43" s="17"/>
      <c r="O43" s="17"/>
      <c r="P43" s="17"/>
      <c r="Q43" s="17"/>
      <c r="R43" s="17"/>
      <c r="S43" s="17"/>
      <c r="T43" s="17"/>
      <c r="U43" s="17"/>
      <c r="V43" s="17"/>
      <c r="W43" s="17"/>
      <c r="X43" s="17"/>
      <c r="Y43" s="21"/>
    </row>
    <row r="44" spans="1:25" ht="32.25" customHeight="1" x14ac:dyDescent="0.25">
      <c r="A44" s="1">
        <v>3</v>
      </c>
      <c r="B44" s="108"/>
      <c r="C44" s="19"/>
      <c r="D44" s="19"/>
      <c r="E44" s="19"/>
      <c r="F44" s="19"/>
      <c r="G44" s="17"/>
      <c r="H44" s="17"/>
      <c r="I44" s="17"/>
      <c r="J44" s="17"/>
      <c r="K44" s="17"/>
      <c r="L44" s="17"/>
      <c r="M44" s="17"/>
      <c r="N44" s="17"/>
      <c r="O44" s="17"/>
      <c r="P44" s="17"/>
      <c r="Q44" s="17"/>
      <c r="R44" s="17"/>
      <c r="S44" s="17"/>
      <c r="T44" s="17"/>
      <c r="U44" s="17"/>
      <c r="V44" s="17"/>
      <c r="W44" s="17"/>
      <c r="X44" s="17"/>
      <c r="Y44" s="21"/>
    </row>
    <row r="45" spans="1:25" ht="43.5" customHeight="1" x14ac:dyDescent="0.25">
      <c r="A45" s="1">
        <v>4</v>
      </c>
      <c r="B45" s="90"/>
      <c r="C45" s="19"/>
      <c r="D45" s="19"/>
      <c r="E45" s="19"/>
      <c r="F45" s="19"/>
      <c r="G45" s="17"/>
      <c r="H45" s="17"/>
      <c r="I45" s="17"/>
      <c r="J45" s="17"/>
      <c r="K45" s="17"/>
      <c r="L45" s="17"/>
      <c r="M45" s="17"/>
      <c r="N45" s="17"/>
      <c r="O45" s="17"/>
      <c r="P45" s="17"/>
      <c r="Q45" s="17"/>
      <c r="R45" s="17"/>
      <c r="S45" s="17"/>
      <c r="T45" s="17"/>
      <c r="U45" s="17"/>
      <c r="V45" s="17"/>
      <c r="W45" s="17"/>
      <c r="X45" s="17"/>
      <c r="Y45" s="21"/>
    </row>
    <row r="46" spans="1:25" ht="40.5" customHeight="1" x14ac:dyDescent="0.25">
      <c r="A46" s="1">
        <v>4</v>
      </c>
      <c r="B46" s="90"/>
      <c r="C46" s="19"/>
      <c r="D46" s="19"/>
      <c r="E46" s="19"/>
      <c r="F46" s="19"/>
      <c r="G46" s="17"/>
      <c r="H46" s="17"/>
      <c r="I46" s="17"/>
      <c r="J46" s="17"/>
      <c r="K46" s="17"/>
      <c r="L46" s="17"/>
      <c r="M46" s="17"/>
      <c r="N46" s="17"/>
      <c r="O46" s="17"/>
      <c r="P46" s="17"/>
      <c r="Q46" s="17"/>
      <c r="R46" s="17"/>
      <c r="S46" s="17"/>
      <c r="T46" s="17"/>
      <c r="U46" s="17"/>
      <c r="V46" s="17"/>
      <c r="W46" s="17"/>
      <c r="X46" s="17"/>
    </row>
    <row r="47" spans="1:25" ht="35.25" customHeight="1" x14ac:dyDescent="0.25">
      <c r="A47" s="1">
        <v>5</v>
      </c>
      <c r="B47" s="90"/>
      <c r="C47" s="19"/>
      <c r="D47" s="19"/>
      <c r="E47" s="19"/>
      <c r="F47" s="19"/>
      <c r="G47" s="17"/>
      <c r="H47" s="17"/>
      <c r="I47" s="17"/>
      <c r="J47" s="17"/>
      <c r="K47" s="17"/>
      <c r="L47" s="17"/>
      <c r="M47" s="17"/>
      <c r="N47" s="17"/>
      <c r="O47" s="17"/>
      <c r="P47" s="17"/>
      <c r="Q47" s="17"/>
      <c r="R47" s="17"/>
      <c r="S47" s="17"/>
      <c r="T47" s="17"/>
      <c r="U47" s="17"/>
      <c r="V47" s="17"/>
      <c r="W47" s="17"/>
      <c r="X47" s="17"/>
    </row>
    <row r="48" spans="1:25" ht="42.75" customHeight="1" x14ac:dyDescent="0.25">
      <c r="B48" s="90"/>
      <c r="C48" s="19"/>
      <c r="D48" s="19"/>
      <c r="E48" s="19"/>
      <c r="F48" s="19"/>
      <c r="G48" s="17"/>
      <c r="H48" s="17"/>
      <c r="I48" s="17"/>
      <c r="J48" s="17"/>
      <c r="K48" s="17"/>
      <c r="L48" s="17"/>
      <c r="M48" s="17"/>
      <c r="N48" s="17"/>
      <c r="O48" s="17"/>
      <c r="P48" s="17"/>
      <c r="Q48" s="17"/>
      <c r="R48" s="17"/>
      <c r="S48" s="17"/>
      <c r="T48" s="17"/>
      <c r="U48" s="17"/>
      <c r="V48" s="17"/>
      <c r="W48" s="17"/>
      <c r="X48" s="109"/>
    </row>
    <row r="49" spans="2:24" s="16" customFormat="1" x14ac:dyDescent="0.25">
      <c r="B49" s="98" t="s">
        <v>28</v>
      </c>
      <c r="C49" s="15">
        <f>SUM(C35:C47)</f>
        <v>152.1</v>
      </c>
      <c r="D49" s="15">
        <v>0</v>
      </c>
      <c r="E49" s="15">
        <v>0</v>
      </c>
      <c r="F49" s="15">
        <f t="shared" ref="F49:X49" si="2">SUM(F35:F47)</f>
        <v>0</v>
      </c>
      <c r="G49" s="15">
        <f t="shared" si="2"/>
        <v>8.4500000000000011</v>
      </c>
      <c r="H49" s="15">
        <f t="shared" si="2"/>
        <v>8.4500000000000011</v>
      </c>
      <c r="I49" s="15">
        <f t="shared" si="2"/>
        <v>8.4500000000000011</v>
      </c>
      <c r="J49" s="15">
        <f t="shared" si="2"/>
        <v>8.4500000000000011</v>
      </c>
      <c r="K49" s="15">
        <f t="shared" si="2"/>
        <v>8.4500000000000011</v>
      </c>
      <c r="L49" s="15">
        <f t="shared" si="2"/>
        <v>8.4500000000000011</v>
      </c>
      <c r="M49" s="15">
        <f t="shared" si="2"/>
        <v>8.4500000000000011</v>
      </c>
      <c r="N49" s="15">
        <f t="shared" si="2"/>
        <v>8.4500000000000011</v>
      </c>
      <c r="O49" s="15">
        <f t="shared" si="2"/>
        <v>8.4500000000000011</v>
      </c>
      <c r="P49" s="15">
        <f t="shared" si="2"/>
        <v>8.4500000000000011</v>
      </c>
      <c r="Q49" s="15">
        <f t="shared" si="2"/>
        <v>8.4500000000000011</v>
      </c>
      <c r="R49" s="15">
        <f t="shared" si="2"/>
        <v>8.4500000000000011</v>
      </c>
      <c r="S49" s="15">
        <f t="shared" si="2"/>
        <v>8.4500000000000011</v>
      </c>
      <c r="T49" s="15">
        <f t="shared" si="2"/>
        <v>8.4500000000000011</v>
      </c>
      <c r="U49" s="15">
        <f t="shared" si="2"/>
        <v>8.4500000000000011</v>
      </c>
      <c r="V49" s="15">
        <f t="shared" si="2"/>
        <v>8.4500000000000011</v>
      </c>
      <c r="W49" s="15">
        <f t="shared" si="2"/>
        <v>8.4500000000000011</v>
      </c>
      <c r="X49" s="22">
        <f t="shared" si="2"/>
        <v>8.4500000000000011</v>
      </c>
    </row>
    <row r="50" spans="2:24" s="16" customFormat="1" x14ac:dyDescent="0.25">
      <c r="B50" s="99" t="s">
        <v>29</v>
      </c>
      <c r="C50" s="15"/>
      <c r="D50" s="15"/>
      <c r="E50" s="15">
        <f>E49/100*90</f>
        <v>0</v>
      </c>
      <c r="F50" s="15">
        <f t="shared" ref="F50:X50" si="3">F49/100*90</f>
        <v>0</v>
      </c>
      <c r="G50" s="15">
        <f t="shared" si="3"/>
        <v>7.6050000000000004</v>
      </c>
      <c r="H50" s="15">
        <f t="shared" si="3"/>
        <v>7.6050000000000004</v>
      </c>
      <c r="I50" s="15">
        <f t="shared" si="3"/>
        <v>7.6050000000000004</v>
      </c>
      <c r="J50" s="15">
        <f t="shared" si="3"/>
        <v>7.6050000000000004</v>
      </c>
      <c r="K50" s="15">
        <f t="shared" si="3"/>
        <v>7.6050000000000004</v>
      </c>
      <c r="L50" s="15">
        <f t="shared" si="3"/>
        <v>7.6050000000000004</v>
      </c>
      <c r="M50" s="15">
        <f t="shared" si="3"/>
        <v>7.6050000000000004</v>
      </c>
      <c r="N50" s="15">
        <f t="shared" si="3"/>
        <v>7.6050000000000004</v>
      </c>
      <c r="O50" s="15">
        <f t="shared" si="3"/>
        <v>7.6050000000000004</v>
      </c>
      <c r="P50" s="15">
        <f t="shared" si="3"/>
        <v>7.6050000000000004</v>
      </c>
      <c r="Q50" s="15">
        <f t="shared" si="3"/>
        <v>7.6050000000000004</v>
      </c>
      <c r="R50" s="15">
        <f t="shared" si="3"/>
        <v>7.6050000000000004</v>
      </c>
      <c r="S50" s="15">
        <f t="shared" si="3"/>
        <v>7.6050000000000004</v>
      </c>
      <c r="T50" s="15">
        <f t="shared" si="3"/>
        <v>7.6050000000000004</v>
      </c>
      <c r="U50" s="15">
        <f t="shared" si="3"/>
        <v>7.6050000000000004</v>
      </c>
      <c r="V50" s="15">
        <f t="shared" si="3"/>
        <v>7.6050000000000004</v>
      </c>
      <c r="W50" s="15">
        <f t="shared" si="3"/>
        <v>7.6050000000000004</v>
      </c>
      <c r="X50" s="15">
        <f t="shared" si="3"/>
        <v>7.6050000000000004</v>
      </c>
    </row>
    <row r="51" spans="2:24" s="16" customFormat="1" x14ac:dyDescent="0.25">
      <c r="B51" s="99" t="s">
        <v>30</v>
      </c>
      <c r="C51" s="15"/>
      <c r="D51" s="15"/>
      <c r="E51" s="15">
        <f t="shared" ref="E51:X51" si="4">E49-E29</f>
        <v>-5.0720000000000018</v>
      </c>
      <c r="F51" s="15">
        <f t="shared" si="4"/>
        <v>-9.958000000000002</v>
      </c>
      <c r="G51" s="15">
        <f t="shared" si="4"/>
        <v>-5.8529999999999962</v>
      </c>
      <c r="H51" s="15">
        <f t="shared" si="4"/>
        <v>-1.1669999999999998</v>
      </c>
      <c r="I51" s="15">
        <f t="shared" si="4"/>
        <v>3.5140000000000002</v>
      </c>
      <c r="J51" s="15">
        <f t="shared" si="4"/>
        <v>3.5059999999999993</v>
      </c>
      <c r="K51" s="15">
        <f t="shared" si="4"/>
        <v>8.4500000000000011</v>
      </c>
      <c r="L51" s="15">
        <f t="shared" si="4"/>
        <v>8.4500000000000011</v>
      </c>
      <c r="M51" s="15">
        <f t="shared" si="4"/>
        <v>8.4500000000000011</v>
      </c>
      <c r="N51" s="15">
        <f t="shared" si="4"/>
        <v>8.4500000000000011</v>
      </c>
      <c r="O51" s="15">
        <f t="shared" si="4"/>
        <v>8.4500000000000011</v>
      </c>
      <c r="P51" s="15">
        <f t="shared" si="4"/>
        <v>8.4500000000000011</v>
      </c>
      <c r="Q51" s="15">
        <f t="shared" si="4"/>
        <v>8.4500000000000011</v>
      </c>
      <c r="R51" s="15">
        <f t="shared" si="4"/>
        <v>8.4500000000000011</v>
      </c>
      <c r="S51" s="15">
        <f t="shared" si="4"/>
        <v>8.4500000000000011</v>
      </c>
      <c r="T51" s="15">
        <f t="shared" si="4"/>
        <v>8.4500000000000011</v>
      </c>
      <c r="U51" s="15">
        <f t="shared" si="4"/>
        <v>8.4500000000000011</v>
      </c>
      <c r="V51" s="15">
        <f t="shared" si="4"/>
        <v>8.4500000000000011</v>
      </c>
      <c r="W51" s="15">
        <f t="shared" si="4"/>
        <v>8.4500000000000011</v>
      </c>
      <c r="X51" s="22">
        <f t="shared" si="4"/>
        <v>8.4500000000000011</v>
      </c>
    </row>
    <row r="52" spans="2:24" s="16" customFormat="1" x14ac:dyDescent="0.25">
      <c r="B52" s="100" t="s">
        <v>31</v>
      </c>
      <c r="C52" s="23"/>
      <c r="D52" s="23"/>
      <c r="E52" s="24">
        <f t="shared" ref="E52:X52" si="5">E49-E30</f>
        <v>-5.5792000000000019</v>
      </c>
      <c r="F52" s="24">
        <f t="shared" si="5"/>
        <v>-10.953800000000001</v>
      </c>
      <c r="G52" s="24">
        <f t="shared" si="5"/>
        <v>-7.2832999999999952</v>
      </c>
      <c r="H52" s="24">
        <f t="shared" si="5"/>
        <v>-2.1287000000000003</v>
      </c>
      <c r="I52" s="24">
        <f t="shared" si="5"/>
        <v>3.0204000000000004</v>
      </c>
      <c r="J52" s="24">
        <f t="shared" si="5"/>
        <v>3.0115999999999987</v>
      </c>
      <c r="K52" s="24">
        <f t="shared" si="5"/>
        <v>8.4500000000000011</v>
      </c>
      <c r="L52" s="24">
        <f t="shared" si="5"/>
        <v>8.4500000000000011</v>
      </c>
      <c r="M52" s="24">
        <f t="shared" si="5"/>
        <v>8.4500000000000011</v>
      </c>
      <c r="N52" s="24">
        <f t="shared" si="5"/>
        <v>8.4500000000000011</v>
      </c>
      <c r="O52" s="24">
        <f t="shared" si="5"/>
        <v>8.4500000000000011</v>
      </c>
      <c r="P52" s="24">
        <f t="shared" si="5"/>
        <v>8.4500000000000011</v>
      </c>
      <c r="Q52" s="24">
        <f t="shared" si="5"/>
        <v>8.4500000000000011</v>
      </c>
      <c r="R52" s="24">
        <f t="shared" si="5"/>
        <v>8.4500000000000011</v>
      </c>
      <c r="S52" s="24">
        <f t="shared" si="5"/>
        <v>8.4500000000000011</v>
      </c>
      <c r="T52" s="24">
        <f t="shared" si="5"/>
        <v>8.4500000000000011</v>
      </c>
      <c r="U52" s="24">
        <f t="shared" si="5"/>
        <v>8.4500000000000011</v>
      </c>
      <c r="V52" s="24">
        <f t="shared" si="5"/>
        <v>8.4500000000000011</v>
      </c>
      <c r="W52" s="24">
        <f t="shared" si="5"/>
        <v>8.4500000000000011</v>
      </c>
      <c r="X52" s="24">
        <f t="shared" si="5"/>
        <v>8.4500000000000011</v>
      </c>
    </row>
    <row r="53" spans="2:24" s="16" customFormat="1" x14ac:dyDescent="0.25">
      <c r="B53" s="100" t="s">
        <v>32</v>
      </c>
      <c r="C53" s="23"/>
      <c r="D53" s="23"/>
      <c r="E53" s="24">
        <f t="shared" ref="E53:X53" si="6">E50-E29</f>
        <v>-5.0720000000000018</v>
      </c>
      <c r="F53" s="24">
        <f t="shared" si="6"/>
        <v>-9.958000000000002</v>
      </c>
      <c r="G53" s="24">
        <f t="shared" si="6"/>
        <v>-6.6979999999999968</v>
      </c>
      <c r="H53" s="24">
        <f t="shared" si="6"/>
        <v>-2.0120000000000005</v>
      </c>
      <c r="I53" s="24">
        <f t="shared" si="6"/>
        <v>2.6689999999999996</v>
      </c>
      <c r="J53" s="24">
        <f t="shared" si="6"/>
        <v>2.6609999999999987</v>
      </c>
      <c r="K53" s="24">
        <f t="shared" si="6"/>
        <v>7.6050000000000004</v>
      </c>
      <c r="L53" s="24">
        <f t="shared" si="6"/>
        <v>7.6050000000000004</v>
      </c>
      <c r="M53" s="24">
        <f t="shared" si="6"/>
        <v>7.6050000000000004</v>
      </c>
      <c r="N53" s="24">
        <f t="shared" si="6"/>
        <v>7.6050000000000004</v>
      </c>
      <c r="O53" s="24">
        <f t="shared" si="6"/>
        <v>7.6050000000000004</v>
      </c>
      <c r="P53" s="24">
        <f t="shared" si="6"/>
        <v>7.6050000000000004</v>
      </c>
      <c r="Q53" s="24">
        <f t="shared" si="6"/>
        <v>7.6050000000000004</v>
      </c>
      <c r="R53" s="24">
        <f t="shared" si="6"/>
        <v>7.6050000000000004</v>
      </c>
      <c r="S53" s="24">
        <f t="shared" si="6"/>
        <v>7.6050000000000004</v>
      </c>
      <c r="T53" s="24">
        <f t="shared" si="6"/>
        <v>7.6050000000000004</v>
      </c>
      <c r="U53" s="24">
        <f t="shared" si="6"/>
        <v>7.6050000000000004</v>
      </c>
      <c r="V53" s="24">
        <f t="shared" si="6"/>
        <v>7.6050000000000004</v>
      </c>
      <c r="W53" s="24">
        <f t="shared" si="6"/>
        <v>7.6050000000000004</v>
      </c>
      <c r="X53" s="24">
        <f t="shared" si="6"/>
        <v>7.6050000000000004</v>
      </c>
    </row>
    <row r="54" spans="2:24" s="16" customFormat="1" ht="15.75" thickBot="1" x14ac:dyDescent="0.3">
      <c r="B54" s="101" t="s">
        <v>33</v>
      </c>
      <c r="C54" s="25"/>
      <c r="D54" s="25"/>
      <c r="E54" s="26">
        <f t="shared" ref="E54:X54" si="7">E50-E30</f>
        <v>-5.5792000000000019</v>
      </c>
      <c r="F54" s="26">
        <f t="shared" si="7"/>
        <v>-10.953800000000001</v>
      </c>
      <c r="G54" s="26">
        <f t="shared" si="7"/>
        <v>-8.1282999999999959</v>
      </c>
      <c r="H54" s="26">
        <f t="shared" si="7"/>
        <v>-2.9737000000000009</v>
      </c>
      <c r="I54" s="26">
        <f t="shared" si="7"/>
        <v>2.1753999999999998</v>
      </c>
      <c r="J54" s="26">
        <f t="shared" si="7"/>
        <v>2.1665999999999981</v>
      </c>
      <c r="K54" s="26">
        <f t="shared" si="7"/>
        <v>7.6050000000000004</v>
      </c>
      <c r="L54" s="26">
        <f t="shared" si="7"/>
        <v>7.6050000000000004</v>
      </c>
      <c r="M54" s="26">
        <f t="shared" si="7"/>
        <v>7.6050000000000004</v>
      </c>
      <c r="N54" s="26">
        <f t="shared" si="7"/>
        <v>7.6050000000000004</v>
      </c>
      <c r="O54" s="26">
        <f t="shared" si="7"/>
        <v>7.6050000000000004</v>
      </c>
      <c r="P54" s="26">
        <f t="shared" si="7"/>
        <v>7.6050000000000004</v>
      </c>
      <c r="Q54" s="26">
        <f t="shared" si="7"/>
        <v>7.6050000000000004</v>
      </c>
      <c r="R54" s="26">
        <f t="shared" si="7"/>
        <v>7.6050000000000004</v>
      </c>
      <c r="S54" s="26">
        <f t="shared" si="7"/>
        <v>7.6050000000000004</v>
      </c>
      <c r="T54" s="26">
        <f t="shared" si="7"/>
        <v>7.6050000000000004</v>
      </c>
      <c r="U54" s="26">
        <f t="shared" si="7"/>
        <v>7.6050000000000004</v>
      </c>
      <c r="V54" s="26">
        <f t="shared" si="7"/>
        <v>7.6050000000000004</v>
      </c>
      <c r="W54" s="26">
        <f t="shared" si="7"/>
        <v>7.6050000000000004</v>
      </c>
      <c r="X54" s="26">
        <f t="shared" si="7"/>
        <v>7.6050000000000004</v>
      </c>
    </row>
    <row r="55" spans="2:24" x14ac:dyDescent="0.25">
      <c r="C55" s="27"/>
      <c r="D55" s="27"/>
      <c r="E55" s="28"/>
      <c r="F55" s="28"/>
      <c r="G55" s="28"/>
      <c r="H55" s="27"/>
      <c r="I55" s="27"/>
      <c r="J55" s="27"/>
      <c r="K55" s="27"/>
      <c r="L55" s="27"/>
      <c r="M55" s="27"/>
      <c r="N55" s="27"/>
      <c r="O55" s="27"/>
      <c r="P55" s="27"/>
      <c r="Q55" s="27"/>
      <c r="R55" s="27"/>
      <c r="S55" s="27"/>
      <c r="T55" s="27"/>
      <c r="U55" s="27"/>
      <c r="V55" s="27"/>
      <c r="W55" s="27"/>
      <c r="X55" s="29"/>
    </row>
    <row r="56" spans="2:24" x14ac:dyDescent="0.25">
      <c r="C56" s="27"/>
      <c r="D56" s="27"/>
      <c r="E56" s="28"/>
      <c r="F56" s="28"/>
      <c r="G56" s="28"/>
      <c r="H56" s="27"/>
      <c r="I56" s="27"/>
      <c r="J56" s="27"/>
      <c r="K56" s="27"/>
      <c r="L56" s="27"/>
      <c r="M56" s="27"/>
      <c r="N56" s="27"/>
      <c r="O56" s="27"/>
      <c r="P56" s="27"/>
      <c r="Q56" s="27"/>
      <c r="R56" s="27"/>
      <c r="S56" s="27"/>
      <c r="T56" s="27"/>
      <c r="U56" s="27"/>
      <c r="V56" s="27"/>
      <c r="W56" s="27"/>
      <c r="X56" s="29"/>
    </row>
    <row r="57" spans="2:24" x14ac:dyDescent="0.25">
      <c r="C57" s="27"/>
      <c r="D57" s="27"/>
      <c r="E57" s="28"/>
      <c r="F57" s="28"/>
      <c r="G57" s="28"/>
      <c r="H57" s="27"/>
      <c r="I57" s="27"/>
      <c r="J57" s="27"/>
      <c r="K57" s="27"/>
      <c r="L57" s="27"/>
      <c r="M57" s="27"/>
      <c r="N57" s="27"/>
      <c r="O57" s="27"/>
      <c r="P57" s="27"/>
      <c r="Q57" s="27"/>
      <c r="R57" s="27"/>
      <c r="S57" s="27"/>
      <c r="T57" s="27"/>
      <c r="U57" s="27"/>
      <c r="V57" s="27"/>
      <c r="W57" s="27"/>
      <c r="X57" s="29"/>
    </row>
    <row r="58" spans="2:24" x14ac:dyDescent="0.25">
      <c r="C58" s="27"/>
      <c r="D58" s="27"/>
      <c r="E58" s="27"/>
      <c r="F58" s="27"/>
      <c r="G58" s="27"/>
      <c r="H58" s="27"/>
      <c r="I58" s="27"/>
      <c r="J58" s="27"/>
      <c r="K58" s="27"/>
      <c r="L58" s="27"/>
      <c r="M58" s="27"/>
      <c r="N58" s="27"/>
      <c r="O58" s="27"/>
      <c r="P58" s="27"/>
      <c r="Q58" s="27"/>
      <c r="R58" s="27"/>
      <c r="S58" s="27"/>
      <c r="T58" s="27"/>
      <c r="U58" s="27"/>
      <c r="V58" s="27"/>
      <c r="W58" s="27"/>
      <c r="X58" s="29"/>
    </row>
    <row r="59" spans="2:24" ht="15" hidden="1" customHeight="1" x14ac:dyDescent="0.25">
      <c r="B59" s="103" t="s">
        <v>34</v>
      </c>
      <c r="C59" s="31">
        <f>SUM(F49:S49)</f>
        <v>109.85000000000002</v>
      </c>
      <c r="D59" s="32" t="s">
        <v>35</v>
      </c>
      <c r="E59" s="31"/>
      <c r="F59" s="33" t="s">
        <v>36</v>
      </c>
      <c r="G59" s="27"/>
      <c r="H59" s="27"/>
      <c r="I59" s="27"/>
      <c r="J59" s="27"/>
      <c r="K59" s="27"/>
      <c r="L59" s="27"/>
      <c r="M59" s="27"/>
      <c r="N59" s="27"/>
      <c r="O59" s="27"/>
      <c r="P59" s="27"/>
      <c r="Q59" s="27"/>
      <c r="R59" s="27"/>
      <c r="S59" s="27"/>
      <c r="T59" s="27"/>
      <c r="U59" s="27"/>
      <c r="V59" s="27"/>
      <c r="W59" s="27"/>
      <c r="X59" s="29"/>
    </row>
    <row r="60" spans="2:24" x14ac:dyDescent="0.25">
      <c r="B60" s="102" t="s">
        <v>37</v>
      </c>
      <c r="C60" s="27">
        <f>SUM(F49:X49)</f>
        <v>152.1</v>
      </c>
      <c r="D60" s="27"/>
      <c r="E60" s="27"/>
      <c r="F60" s="27"/>
      <c r="G60" s="27"/>
      <c r="H60" s="27"/>
      <c r="I60" s="27"/>
      <c r="J60" s="27"/>
      <c r="K60" s="27"/>
      <c r="L60" s="27"/>
      <c r="M60" s="27"/>
      <c r="N60" s="27"/>
      <c r="O60" s="27"/>
      <c r="P60" s="27"/>
      <c r="Q60" s="27"/>
      <c r="R60" s="27"/>
      <c r="S60" s="27"/>
      <c r="T60" s="27"/>
      <c r="U60" s="27"/>
      <c r="V60" s="27"/>
      <c r="W60" s="27"/>
      <c r="X60" s="29"/>
    </row>
    <row r="61" spans="2:24" ht="15" hidden="1" customHeight="1" x14ac:dyDescent="0.25">
      <c r="B61" s="103" t="s">
        <v>38</v>
      </c>
      <c r="C61" s="31">
        <f>SUM(F49:J49)</f>
        <v>33.800000000000004</v>
      </c>
      <c r="D61" s="32" t="s">
        <v>39</v>
      </c>
      <c r="E61" s="31"/>
      <c r="F61" s="31"/>
      <c r="G61" s="27"/>
      <c r="H61" s="27"/>
      <c r="I61" s="27"/>
      <c r="J61" s="27"/>
      <c r="K61" s="27"/>
      <c r="L61" s="27"/>
      <c r="M61" s="27"/>
      <c r="N61" s="27"/>
      <c r="O61" s="27"/>
      <c r="P61" s="27"/>
      <c r="Q61" s="27"/>
      <c r="R61" s="27"/>
      <c r="S61" s="27"/>
      <c r="T61" s="27"/>
      <c r="U61" s="27"/>
      <c r="V61" s="27"/>
      <c r="W61" s="27"/>
      <c r="X61" s="29"/>
    </row>
    <row r="62" spans="2:24" x14ac:dyDescent="0.25">
      <c r="C62" s="27"/>
      <c r="D62" s="33"/>
      <c r="E62" s="27"/>
      <c r="F62" s="27"/>
      <c r="G62" s="27"/>
      <c r="H62" s="27"/>
      <c r="I62" s="27"/>
      <c r="J62" s="27"/>
      <c r="K62" s="27"/>
      <c r="L62" s="27"/>
      <c r="M62" s="27"/>
      <c r="N62" s="27"/>
      <c r="O62" s="27"/>
      <c r="P62" s="27"/>
      <c r="Q62" s="27"/>
      <c r="R62" s="27"/>
      <c r="S62" s="27"/>
      <c r="T62" s="27"/>
      <c r="U62" s="27"/>
      <c r="V62" s="27"/>
      <c r="W62" s="27"/>
      <c r="X62" s="29"/>
    </row>
    <row r="63" spans="2:24" ht="15" hidden="1" customHeight="1" x14ac:dyDescent="0.25">
      <c r="B63" s="103" t="s">
        <v>40</v>
      </c>
      <c r="C63" s="34">
        <f>NPV(0.08,E49:X49)+(7644.8)</f>
        <v>7712.6947584873224</v>
      </c>
      <c r="D63" s="30"/>
      <c r="E63" s="35">
        <f>NPV(0.08,E49:X49)+(8409.28)</f>
        <v>8477.1747584873228</v>
      </c>
      <c r="F63" s="35" t="e">
        <f>NPV(0.08,#REF!)+(7644.8)</f>
        <v>#REF!</v>
      </c>
      <c r="G63" s="34" t="e">
        <f>NPV(0.08,#REF!)+(8409.28)</f>
        <v>#REF!</v>
      </c>
      <c r="H63" s="36" t="s">
        <v>41</v>
      </c>
    </row>
    <row r="64" spans="2:24" ht="15" hidden="1" customHeight="1" x14ac:dyDescent="0.25">
      <c r="B64" s="103" t="s">
        <v>42</v>
      </c>
      <c r="C64" s="34">
        <f>NPV(0.08,E49:J49)+(7644.8)</f>
        <v>7668.7947460548485</v>
      </c>
      <c r="D64" s="36" t="s">
        <v>35</v>
      </c>
      <c r="E64" s="37"/>
    </row>
    <row r="65" spans="2:7" x14ac:dyDescent="0.25">
      <c r="B65" s="102" t="s">
        <v>43</v>
      </c>
      <c r="C65" s="1" t="s">
        <v>44</v>
      </c>
      <c r="E65" s="1" t="s">
        <v>45</v>
      </c>
      <c r="F65" s="1" t="s">
        <v>46</v>
      </c>
      <c r="G65" s="1" t="s">
        <v>47</v>
      </c>
    </row>
    <row r="66" spans="2:7" x14ac:dyDescent="0.25">
      <c r="B66" s="104" t="s">
        <v>48</v>
      </c>
      <c r="C66" s="38">
        <f>NPV(0.06,E49:X49)</f>
        <v>81.428666265548515</v>
      </c>
      <c r="D66" s="39"/>
      <c r="E66" s="40">
        <f>C66</f>
        <v>81.428666265548515</v>
      </c>
      <c r="F66" s="38">
        <f>NPV(0.06,E50:X50)</f>
        <v>73.28579963899368</v>
      </c>
      <c r="G66" s="38">
        <f>F66</f>
        <v>73.28579963899368</v>
      </c>
    </row>
    <row r="67" spans="2:7" x14ac:dyDescent="0.25">
      <c r="B67" s="102" t="s">
        <v>49</v>
      </c>
      <c r="C67" s="40">
        <f>NPV(0.06,E29:J29)</f>
        <v>40.447920827810826</v>
      </c>
      <c r="E67" s="40">
        <f>NPV(0.06,E30:J30)</f>
        <v>44.492712910591912</v>
      </c>
      <c r="F67" s="41">
        <f>C67</f>
        <v>40.447920827810826</v>
      </c>
      <c r="G67" s="41">
        <f>E67</f>
        <v>44.492712910591912</v>
      </c>
    </row>
    <row r="68" spans="2:7" x14ac:dyDescent="0.25">
      <c r="B68" s="102" t="s">
        <v>50</v>
      </c>
      <c r="C68" s="42">
        <f>C66/C67</f>
        <v>2.0131731025729387</v>
      </c>
      <c r="E68" s="43">
        <f>E66/E67</f>
        <v>1.8301573659753989</v>
      </c>
      <c r="F68" s="44">
        <f>F66/F67</f>
        <v>1.8118557923156453</v>
      </c>
      <c r="G68" s="44">
        <f>G66/G67</f>
        <v>1.6471416293778594</v>
      </c>
    </row>
    <row r="69" spans="2:7" x14ac:dyDescent="0.25">
      <c r="B69" s="102" t="s">
        <v>51</v>
      </c>
      <c r="C69" s="40">
        <f>C66-C67</f>
        <v>40.980745437737689</v>
      </c>
      <c r="E69" s="40">
        <f>E66-E67</f>
        <v>36.935953354956602</v>
      </c>
      <c r="F69" s="45">
        <f>F66-F67</f>
        <v>32.837878811182854</v>
      </c>
      <c r="G69" s="45">
        <f>G66-G67</f>
        <v>28.793086728401768</v>
      </c>
    </row>
    <row r="70" spans="2:7" x14ac:dyDescent="0.25">
      <c r="B70" s="102" t="s">
        <v>52</v>
      </c>
      <c r="C70" s="46">
        <f>IRR(E51:X51,0.2)</f>
        <v>0.20538279294374995</v>
      </c>
      <c r="E70" s="47">
        <f>IRR(E52:X52,0.2)</f>
        <v>0.17988857405967584</v>
      </c>
      <c r="F70" s="47">
        <f>IRR(E53:X53,0.2)</f>
        <v>0.17733811506350605</v>
      </c>
      <c r="G70" s="47">
        <f>IRR(E54:X54,0.2)</f>
        <v>0.15433037385609105</v>
      </c>
    </row>
    <row r="73" spans="2:7" x14ac:dyDescent="0.25">
      <c r="B73" s="102" t="s">
        <v>53</v>
      </c>
      <c r="C73" s="1" t="s">
        <v>44</v>
      </c>
      <c r="E73" s="1" t="s">
        <v>45</v>
      </c>
      <c r="F73" s="1" t="s">
        <v>46</v>
      </c>
      <c r="G73" s="1" t="s">
        <v>47</v>
      </c>
    </row>
    <row r="74" spans="2:7" x14ac:dyDescent="0.25">
      <c r="B74" s="104" t="s">
        <v>48</v>
      </c>
      <c r="C74" s="38">
        <f>NPV(0.1,E49:X49)</f>
        <v>57.274324175761478</v>
      </c>
      <c r="D74" s="39"/>
      <c r="E74" s="40">
        <f>C74</f>
        <v>57.274324175761478</v>
      </c>
      <c r="F74" s="38">
        <f>NPV(0.1,E50:X50)</f>
        <v>51.546891758185325</v>
      </c>
      <c r="G74" s="40">
        <f>E74</f>
        <v>57.274324175761478</v>
      </c>
    </row>
    <row r="75" spans="2:7" x14ac:dyDescent="0.25">
      <c r="B75" s="102" t="s">
        <v>49</v>
      </c>
      <c r="C75" s="40">
        <f>NPV(0.1,E29:X29)</f>
        <v>36.010883915371799</v>
      </c>
      <c r="E75" s="40">
        <f>NPV(0.01,E30:X30)</f>
        <v>51.987732911439601</v>
      </c>
      <c r="F75" s="41">
        <f>C75</f>
        <v>36.010883915371799</v>
      </c>
      <c r="G75" s="48">
        <f>F75</f>
        <v>36.010883915371799</v>
      </c>
    </row>
    <row r="76" spans="2:7" x14ac:dyDescent="0.25">
      <c r="B76" s="102" t="s">
        <v>50</v>
      </c>
      <c r="C76" s="42">
        <f>C74/C75</f>
        <v>1.5904726001827756</v>
      </c>
      <c r="E76" s="43">
        <f>E74/E75</f>
        <v>1.1016892056694896</v>
      </c>
      <c r="F76" s="44">
        <f>F74/F75</f>
        <v>1.4314253401644979</v>
      </c>
      <c r="G76" s="44">
        <f>G74/G75</f>
        <v>1.5904726001827756</v>
      </c>
    </row>
    <row r="77" spans="2:7" x14ac:dyDescent="0.25">
      <c r="B77" s="102" t="s">
        <v>51</v>
      </c>
      <c r="C77" s="40">
        <f>C74-C75</f>
        <v>21.263440260389679</v>
      </c>
      <c r="E77" s="40">
        <f>E74-E75</f>
        <v>5.2865912643218778</v>
      </c>
      <c r="F77" s="45">
        <f>F74-F75</f>
        <v>15.536007842813525</v>
      </c>
      <c r="G77" s="45">
        <f>G74-G75</f>
        <v>21.263440260389679</v>
      </c>
    </row>
    <row r="78" spans="2:7" x14ac:dyDescent="0.25">
      <c r="B78" s="102" t="s">
        <v>52</v>
      </c>
      <c r="C78" s="46">
        <f>IRR(E51:X51,0.2)</f>
        <v>0.20538279294374995</v>
      </c>
      <c r="E78" s="47">
        <f>IRR(E52:X52,0.2)</f>
        <v>0.17988857405967584</v>
      </c>
      <c r="F78" s="47">
        <f>IRR(E53:X53,0.2)</f>
        <v>0.17733811506350605</v>
      </c>
      <c r="G78" s="47">
        <f>IRR(E54:X54,0.2)</f>
        <v>0.15433037385609105</v>
      </c>
    </row>
    <row r="81" spans="3:8" ht="15.75" thickBot="1" x14ac:dyDescent="0.3"/>
    <row r="82" spans="3:8" x14ac:dyDescent="0.25">
      <c r="C82" s="49"/>
      <c r="D82" s="168" t="s">
        <v>54</v>
      </c>
      <c r="E82" s="168"/>
      <c r="F82" s="168" t="s">
        <v>55</v>
      </c>
      <c r="G82" s="168"/>
      <c r="H82" s="169" t="s">
        <v>56</v>
      </c>
    </row>
    <row r="83" spans="3:8" x14ac:dyDescent="0.25">
      <c r="C83" s="50"/>
      <c r="D83" s="51" t="s">
        <v>51</v>
      </c>
      <c r="E83" s="51" t="s">
        <v>57</v>
      </c>
      <c r="F83" s="51" t="s">
        <v>51</v>
      </c>
      <c r="G83" s="51" t="s">
        <v>57</v>
      </c>
      <c r="H83" s="170"/>
    </row>
    <row r="84" spans="3:8" x14ac:dyDescent="0.25">
      <c r="C84" s="50" t="s">
        <v>58</v>
      </c>
      <c r="D84" s="52">
        <f>C69</f>
        <v>40.980745437737689</v>
      </c>
      <c r="E84" s="53">
        <f>C68</f>
        <v>2.0131731025729387</v>
      </c>
      <c r="F84" s="52">
        <f>C77</f>
        <v>21.263440260389679</v>
      </c>
      <c r="G84" s="54">
        <f>C76</f>
        <v>1.5904726001827756</v>
      </c>
      <c r="H84" s="55">
        <f>C78</f>
        <v>0.20538279294374995</v>
      </c>
    </row>
    <row r="85" spans="3:8" x14ac:dyDescent="0.25">
      <c r="C85" s="50" t="s">
        <v>59</v>
      </c>
      <c r="D85" s="52">
        <f>E69</f>
        <v>36.935953354956602</v>
      </c>
      <c r="E85" s="53">
        <f>E68</f>
        <v>1.8301573659753989</v>
      </c>
      <c r="F85" s="52">
        <f>E77</f>
        <v>5.2865912643218778</v>
      </c>
      <c r="G85" s="56">
        <f>E76</f>
        <v>1.1016892056694896</v>
      </c>
      <c r="H85" s="55">
        <f>E78</f>
        <v>0.17988857405967584</v>
      </c>
    </row>
    <row r="86" spans="3:8" x14ac:dyDescent="0.25">
      <c r="C86" s="50" t="s">
        <v>60</v>
      </c>
      <c r="D86" s="57">
        <f>F69</f>
        <v>32.837878811182854</v>
      </c>
      <c r="E86" s="53">
        <f>F68</f>
        <v>1.8118557923156453</v>
      </c>
      <c r="F86" s="57">
        <f>F77</f>
        <v>15.536007842813525</v>
      </c>
      <c r="G86" s="53">
        <f>F76</f>
        <v>1.4314253401644979</v>
      </c>
      <c r="H86" s="55">
        <f>F78</f>
        <v>0.17733811506350605</v>
      </c>
    </row>
    <row r="87" spans="3:8" ht="15.75" thickBot="1" x14ac:dyDescent="0.3">
      <c r="C87" s="58" t="s">
        <v>61</v>
      </c>
      <c r="D87" s="59">
        <f>G69</f>
        <v>28.793086728401768</v>
      </c>
      <c r="E87" s="60">
        <f>G68</f>
        <v>1.6471416293778594</v>
      </c>
      <c r="F87" s="59">
        <f>G77</f>
        <v>21.263440260389679</v>
      </c>
      <c r="G87" s="60">
        <f>G76</f>
        <v>1.5904726001827756</v>
      </c>
      <c r="H87" s="61">
        <f>G78</f>
        <v>0.15433037385609105</v>
      </c>
    </row>
    <row r="97" spans="2:9" x14ac:dyDescent="0.25">
      <c r="B97" s="105" t="s">
        <v>62</v>
      </c>
    </row>
    <row r="98" spans="2:9" x14ac:dyDescent="0.25">
      <c r="B98" s="106" t="s">
        <v>63</v>
      </c>
    </row>
    <row r="99" spans="2:9" x14ac:dyDescent="0.25">
      <c r="B99" s="106" t="s">
        <v>64</v>
      </c>
    </row>
    <row r="100" spans="2:9" x14ac:dyDescent="0.25">
      <c r="B100" s="106" t="s">
        <v>65</v>
      </c>
    </row>
    <row r="101" spans="2:9" x14ac:dyDescent="0.25">
      <c r="B101" s="106" t="s">
        <v>66</v>
      </c>
    </row>
    <row r="103" spans="2:9" ht="90" hidden="1" customHeight="1" x14ac:dyDescent="0.25">
      <c r="D103" s="62" t="s">
        <v>67</v>
      </c>
      <c r="E103" s="62" t="s">
        <v>68</v>
      </c>
      <c r="F103" s="62" t="s">
        <v>69</v>
      </c>
      <c r="G103" s="63" t="s">
        <v>70</v>
      </c>
      <c r="H103" s="63" t="s">
        <v>71</v>
      </c>
      <c r="I103" s="64" t="s">
        <v>72</v>
      </c>
    </row>
    <row r="104" spans="2:9" ht="15" hidden="1" customHeight="1" x14ac:dyDescent="0.25">
      <c r="D104" s="62"/>
      <c r="E104" s="65">
        <v>-7644800000</v>
      </c>
      <c r="F104" s="66">
        <f>E104/100*10+E104</f>
        <v>-8409280000</v>
      </c>
      <c r="G104" s="62">
        <v>-7644800000</v>
      </c>
      <c r="H104" s="66">
        <v>-8409280000</v>
      </c>
    </row>
    <row r="105" spans="2:9" ht="15" hidden="1" customHeight="1" x14ac:dyDescent="0.25">
      <c r="C105" s="27"/>
      <c r="D105" s="62">
        <v>1</v>
      </c>
      <c r="E105" s="62">
        <v>0</v>
      </c>
      <c r="F105" s="62">
        <v>0</v>
      </c>
      <c r="G105" s="62"/>
      <c r="H105" s="65"/>
    </row>
    <row r="106" spans="2:9" ht="15" hidden="1" customHeight="1" x14ac:dyDescent="0.25">
      <c r="D106" s="62">
        <v>2</v>
      </c>
      <c r="E106" s="65">
        <v>584000000</v>
      </c>
      <c r="F106" s="65">
        <v>584000000</v>
      </c>
      <c r="G106" s="66">
        <f>F106/100*90</f>
        <v>525600000</v>
      </c>
      <c r="H106" s="65">
        <v>525600000</v>
      </c>
    </row>
    <row r="107" spans="2:9" ht="15" hidden="1" customHeight="1" x14ac:dyDescent="0.25">
      <c r="D107" s="62">
        <v>3</v>
      </c>
      <c r="E107" s="65">
        <v>2890442500</v>
      </c>
      <c r="F107" s="65">
        <v>2890442500</v>
      </c>
      <c r="G107" s="66">
        <f t="shared" ref="G107:G124" si="8">F107/100*90</f>
        <v>2601398250</v>
      </c>
      <c r="H107" s="65">
        <v>2601398250</v>
      </c>
    </row>
    <row r="108" spans="2:9" ht="15" hidden="1" customHeight="1" x14ac:dyDescent="0.25">
      <c r="D108" s="62">
        <v>4</v>
      </c>
      <c r="E108" s="65">
        <v>3121677900</v>
      </c>
      <c r="F108" s="65">
        <v>3121677900</v>
      </c>
      <c r="G108" s="66">
        <f t="shared" si="8"/>
        <v>2809510110</v>
      </c>
      <c r="H108" s="65">
        <v>2809510110</v>
      </c>
    </row>
    <row r="109" spans="2:9" ht="15" hidden="1" customHeight="1" x14ac:dyDescent="0.25">
      <c r="D109" s="62">
        <v>5</v>
      </c>
      <c r="E109" s="65">
        <v>3371412132</v>
      </c>
      <c r="F109" s="65">
        <v>3371412132</v>
      </c>
      <c r="G109" s="66">
        <f t="shared" si="8"/>
        <v>3034270918.8000002</v>
      </c>
      <c r="H109" s="65">
        <v>3034270918.8000002</v>
      </c>
    </row>
    <row r="110" spans="2:9" ht="15" hidden="1" customHeight="1" x14ac:dyDescent="0.25">
      <c r="D110" s="62">
        <v>6</v>
      </c>
      <c r="E110" s="65">
        <v>3641125102.5599999</v>
      </c>
      <c r="F110" s="65">
        <v>3641125102.5599999</v>
      </c>
      <c r="G110" s="66">
        <f t="shared" si="8"/>
        <v>3277012592.3039999</v>
      </c>
      <c r="H110" s="65">
        <v>3277012592.3039999</v>
      </c>
    </row>
    <row r="111" spans="2:9" ht="15" hidden="1" customHeight="1" x14ac:dyDescent="0.25">
      <c r="D111" s="62">
        <v>7</v>
      </c>
      <c r="E111" s="65">
        <v>3932415110.7648001</v>
      </c>
      <c r="F111" s="65">
        <v>3932415110.7648001</v>
      </c>
      <c r="G111" s="66">
        <f t="shared" si="8"/>
        <v>3539173599.6883202</v>
      </c>
      <c r="H111" s="65">
        <v>3539173599.6883202</v>
      </c>
    </row>
    <row r="112" spans="2:9" ht="15" hidden="1" customHeight="1" x14ac:dyDescent="0.25">
      <c r="D112" s="62">
        <v>8</v>
      </c>
      <c r="E112" s="65">
        <v>4247008319.6259842</v>
      </c>
      <c r="F112" s="65">
        <v>4247008319.6259842</v>
      </c>
      <c r="G112" s="66">
        <f t="shared" si="8"/>
        <v>3822307487.6633859</v>
      </c>
      <c r="H112" s="65">
        <v>3822307487.6633859</v>
      </c>
    </row>
    <row r="113" spans="4:8" ht="15" hidden="1" customHeight="1" x14ac:dyDescent="0.25">
      <c r="D113" s="62">
        <v>9</v>
      </c>
      <c r="E113" s="65">
        <v>4586768985.196063</v>
      </c>
      <c r="F113" s="65">
        <v>4586768985.196063</v>
      </c>
      <c r="G113" s="66">
        <f t="shared" si="8"/>
        <v>4128092086.6764565</v>
      </c>
      <c r="H113" s="65">
        <v>4128092086.6764565</v>
      </c>
    </row>
    <row r="114" spans="4:8" ht="15" hidden="1" customHeight="1" x14ac:dyDescent="0.25">
      <c r="D114" s="62">
        <v>10</v>
      </c>
      <c r="E114" s="65">
        <v>4953710504.0117483</v>
      </c>
      <c r="F114" s="65">
        <v>4953710504.0117483</v>
      </c>
      <c r="G114" s="66">
        <f t="shared" si="8"/>
        <v>4458339453.6105728</v>
      </c>
      <c r="H114" s="65">
        <v>4458339453.6105728</v>
      </c>
    </row>
    <row r="115" spans="4:8" ht="15" hidden="1" customHeight="1" x14ac:dyDescent="0.25">
      <c r="D115" s="62">
        <v>11</v>
      </c>
      <c r="E115" s="65">
        <v>5350007344.3326883</v>
      </c>
      <c r="F115" s="65">
        <v>5350007344.3326883</v>
      </c>
      <c r="G115" s="66">
        <f t="shared" si="8"/>
        <v>4815006609.8994198</v>
      </c>
      <c r="H115" s="65">
        <v>4815006609.8994198</v>
      </c>
    </row>
    <row r="116" spans="4:8" ht="15" hidden="1" customHeight="1" x14ac:dyDescent="0.25">
      <c r="D116" s="62">
        <v>12</v>
      </c>
      <c r="E116" s="65">
        <v>5778007931.879303</v>
      </c>
      <c r="F116" s="65">
        <v>5778007931.879303</v>
      </c>
      <c r="G116" s="66">
        <f t="shared" si="8"/>
        <v>5200207138.6913729</v>
      </c>
      <c r="H116" s="65">
        <v>5200207138.6913729</v>
      </c>
    </row>
    <row r="117" spans="4:8" ht="15" hidden="1" customHeight="1" x14ac:dyDescent="0.25">
      <c r="D117" s="62">
        <v>13</v>
      </c>
      <c r="E117" s="65">
        <v>6240248566.4296474</v>
      </c>
      <c r="F117" s="65">
        <v>6240248566.4296474</v>
      </c>
      <c r="G117" s="66">
        <f t="shared" si="8"/>
        <v>5616223709.7866831</v>
      </c>
      <c r="H117" s="65">
        <v>5616223709.7866831</v>
      </c>
    </row>
    <row r="118" spans="4:8" ht="15" hidden="1" customHeight="1" x14ac:dyDescent="0.25">
      <c r="D118" s="62">
        <v>14</v>
      </c>
      <c r="E118" s="65">
        <v>6739468451.7440186</v>
      </c>
      <c r="F118" s="65">
        <v>6739468451.7440186</v>
      </c>
      <c r="G118" s="66">
        <f t="shared" si="8"/>
        <v>6065521606.5696163</v>
      </c>
      <c r="H118" s="65">
        <v>6065521606.5696163</v>
      </c>
    </row>
    <row r="119" spans="4:8" ht="15" hidden="1" customHeight="1" x14ac:dyDescent="0.25">
      <c r="D119" s="62">
        <v>15</v>
      </c>
      <c r="E119" s="65">
        <v>7278625927.8835411</v>
      </c>
      <c r="F119" s="65">
        <v>7278625927.8835411</v>
      </c>
      <c r="G119" s="66">
        <f t="shared" si="8"/>
        <v>6550763335.0951872</v>
      </c>
      <c r="H119" s="65">
        <v>6550763335.0951872</v>
      </c>
    </row>
    <row r="120" spans="4:8" ht="15" hidden="1" customHeight="1" x14ac:dyDescent="0.25">
      <c r="D120" s="62">
        <v>16</v>
      </c>
      <c r="E120" s="65">
        <v>7860916002.1142244</v>
      </c>
      <c r="F120" s="65">
        <v>7860916002.1142244</v>
      </c>
      <c r="G120" s="66">
        <f t="shared" si="8"/>
        <v>7074824401.9028015</v>
      </c>
      <c r="H120" s="65">
        <v>7074824401.9028015</v>
      </c>
    </row>
    <row r="121" spans="4:8" ht="15" hidden="1" customHeight="1" x14ac:dyDescent="0.25">
      <c r="D121" s="62">
        <v>17</v>
      </c>
      <c r="E121" s="65">
        <v>8489789282.2833624</v>
      </c>
      <c r="F121" s="65">
        <v>8489789282.2833624</v>
      </c>
      <c r="G121" s="66">
        <f t="shared" si="8"/>
        <v>7640810354.0550261</v>
      </c>
      <c r="H121" s="65">
        <v>7640810354.0550261</v>
      </c>
    </row>
    <row r="122" spans="4:8" ht="15" hidden="1" customHeight="1" x14ac:dyDescent="0.25">
      <c r="D122" s="62">
        <v>18</v>
      </c>
      <c r="E122" s="65">
        <v>9168972424.8660316</v>
      </c>
      <c r="F122" s="65">
        <v>9168972424.8660316</v>
      </c>
      <c r="G122" s="66">
        <f t="shared" si="8"/>
        <v>8252075182.3794279</v>
      </c>
      <c r="H122" s="65">
        <v>8252075182.3794279</v>
      </c>
    </row>
    <row r="123" spans="4:8" ht="15" hidden="1" customHeight="1" x14ac:dyDescent="0.25">
      <c r="D123" s="62">
        <v>19</v>
      </c>
      <c r="E123" s="65">
        <v>9902490218.8553143</v>
      </c>
      <c r="F123" s="65">
        <v>9902490218.8553143</v>
      </c>
      <c r="G123" s="66">
        <f t="shared" si="8"/>
        <v>8912241196.9697819</v>
      </c>
      <c r="H123" s="65">
        <v>8912241196.9697819</v>
      </c>
    </row>
    <row r="124" spans="4:8" ht="15" hidden="1" customHeight="1" x14ac:dyDescent="0.25">
      <c r="D124" s="62">
        <v>20</v>
      </c>
      <c r="E124" s="65">
        <v>10694689436.363737</v>
      </c>
      <c r="F124" s="65">
        <v>10694689436.363737</v>
      </c>
      <c r="G124" s="66">
        <f t="shared" si="8"/>
        <v>9625220492.7273636</v>
      </c>
      <c r="H124" s="65">
        <v>9625220492.7273636</v>
      </c>
    </row>
    <row r="125" spans="4:8" ht="15" hidden="1" customHeight="1" x14ac:dyDescent="0.25">
      <c r="D125" s="62"/>
      <c r="E125" s="62"/>
      <c r="F125" s="62"/>
      <c r="G125" s="62"/>
      <c r="H125" s="62"/>
    </row>
    <row r="126" spans="4:8" ht="15" hidden="1" customHeight="1" x14ac:dyDescent="0.25">
      <c r="D126" s="62" t="s">
        <v>56</v>
      </c>
      <c r="E126" s="67">
        <f>IRR(E104:E124,0.1)</f>
        <v>0.30478525836117032</v>
      </c>
      <c r="F126" s="67">
        <v>0.28999999999999998</v>
      </c>
      <c r="G126" s="67">
        <f>IRR(G104:G124,0.1)</f>
        <v>0.34191020350504453</v>
      </c>
      <c r="H126" s="67">
        <f>IRR(H104:H124,0.1)</f>
        <v>0.31941988806573041</v>
      </c>
    </row>
    <row r="127" spans="4:8" ht="15" hidden="1" customHeight="1" x14ac:dyDescent="0.25">
      <c r="D127" s="62" t="s">
        <v>51</v>
      </c>
      <c r="E127" s="62"/>
      <c r="F127" s="62"/>
      <c r="G127" s="62"/>
      <c r="H127" s="62"/>
    </row>
    <row r="128" spans="4:8" ht="15" hidden="1" customHeight="1" x14ac:dyDescent="0.25">
      <c r="D128" s="62"/>
      <c r="E128" s="62"/>
      <c r="F128" s="62"/>
      <c r="G128" s="62"/>
      <c r="H128" s="62"/>
    </row>
    <row r="129" ht="15" hidden="1" customHeight="1" x14ac:dyDescent="0.25"/>
    <row r="130" ht="15" hidden="1" customHeight="1" x14ac:dyDescent="0.25"/>
  </sheetData>
  <mergeCells count="3">
    <mergeCell ref="D82:E82"/>
    <mergeCell ref="F82:G82"/>
    <mergeCell ref="H82:H8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E2:K34"/>
  <sheetViews>
    <sheetView topLeftCell="B7" workbookViewId="0">
      <selection activeCell="M7" sqref="M7"/>
    </sheetView>
  </sheetViews>
  <sheetFormatPr defaultRowHeight="15" x14ac:dyDescent="0.25"/>
  <cols>
    <col min="6" max="6" width="12.7109375" customWidth="1"/>
    <col min="7" max="7" width="18" customWidth="1"/>
    <col min="8" max="8" width="13.5703125" customWidth="1"/>
    <col min="9" max="10" width="12.7109375" customWidth="1"/>
    <col min="11" max="11" width="14.28515625" customWidth="1"/>
  </cols>
  <sheetData>
    <row r="2" spans="5:11" ht="15.75" thickBot="1" x14ac:dyDescent="0.3">
      <c r="F2">
        <v>1</v>
      </c>
      <c r="G2">
        <v>2</v>
      </c>
      <c r="H2">
        <v>3</v>
      </c>
      <c r="I2">
        <v>4</v>
      </c>
      <c r="J2">
        <v>5</v>
      </c>
      <c r="K2">
        <v>6</v>
      </c>
    </row>
    <row r="3" spans="5:11" ht="183" customHeight="1" x14ac:dyDescent="0.25">
      <c r="E3" s="72" t="s">
        <v>73</v>
      </c>
      <c r="F3" s="73" t="s">
        <v>74</v>
      </c>
      <c r="G3" s="73" t="s">
        <v>75</v>
      </c>
      <c r="H3" s="73" t="s">
        <v>78</v>
      </c>
      <c r="I3" s="73" t="s">
        <v>79</v>
      </c>
      <c r="J3" s="73" t="s">
        <v>77</v>
      </c>
      <c r="K3" s="74" t="s">
        <v>116</v>
      </c>
    </row>
    <row r="4" spans="5:11" x14ac:dyDescent="0.25">
      <c r="E4" s="75">
        <v>1</v>
      </c>
      <c r="F4" s="116">
        <v>0.49</v>
      </c>
      <c r="G4" s="70">
        <v>1.78</v>
      </c>
      <c r="H4" s="70">
        <v>0.98</v>
      </c>
      <c r="I4" s="70">
        <v>0.7</v>
      </c>
      <c r="J4" s="70">
        <v>0.49</v>
      </c>
      <c r="K4" s="115">
        <v>0.44</v>
      </c>
    </row>
    <row r="5" spans="5:11" x14ac:dyDescent="0.25">
      <c r="E5" s="75">
        <v>2</v>
      </c>
      <c r="F5" s="116">
        <v>0.99</v>
      </c>
      <c r="G5" s="70">
        <v>3.57</v>
      </c>
      <c r="H5" s="70">
        <v>1.96</v>
      </c>
      <c r="I5" s="70">
        <v>1.74</v>
      </c>
      <c r="J5" s="70">
        <v>0.97</v>
      </c>
      <c r="K5" s="115">
        <v>0.33200000000000002</v>
      </c>
    </row>
    <row r="6" spans="5:11" x14ac:dyDescent="0.25">
      <c r="E6" s="75">
        <v>3</v>
      </c>
      <c r="F6" s="116">
        <v>1.49</v>
      </c>
      <c r="G6" s="70">
        <v>5.29</v>
      </c>
      <c r="H6" s="70">
        <v>2.98</v>
      </c>
      <c r="I6" s="70">
        <v>2.1</v>
      </c>
      <c r="J6" s="70">
        <v>1.47</v>
      </c>
      <c r="K6" s="115">
        <v>0.375</v>
      </c>
    </row>
    <row r="7" spans="5:11" x14ac:dyDescent="0.25">
      <c r="E7" s="75">
        <v>4</v>
      </c>
      <c r="F7" s="116">
        <v>0.99</v>
      </c>
      <c r="G7" s="70">
        <v>3.57</v>
      </c>
      <c r="H7" s="70">
        <v>1.96</v>
      </c>
      <c r="I7" s="70">
        <v>1.38</v>
      </c>
      <c r="J7" s="70">
        <v>0.97</v>
      </c>
      <c r="K7" s="115">
        <v>0.35099999999999998</v>
      </c>
    </row>
    <row r="8" spans="5:11" x14ac:dyDescent="0.25">
      <c r="E8" s="75">
        <v>5</v>
      </c>
      <c r="F8" s="116">
        <v>0.497</v>
      </c>
      <c r="G8" s="70">
        <v>1.78</v>
      </c>
      <c r="H8" s="70">
        <v>0.99</v>
      </c>
      <c r="I8" s="70">
        <v>0.7</v>
      </c>
      <c r="J8" s="70">
        <v>0.49</v>
      </c>
      <c r="K8" s="115">
        <v>0.28199999999999997</v>
      </c>
    </row>
    <row r="9" spans="5:11" x14ac:dyDescent="0.25">
      <c r="E9" s="75">
        <v>6</v>
      </c>
      <c r="F9" s="116">
        <v>0.497</v>
      </c>
      <c r="G9" s="70">
        <v>1.79</v>
      </c>
      <c r="H9" s="70">
        <v>0.99</v>
      </c>
      <c r="I9" s="70">
        <v>0.7</v>
      </c>
      <c r="J9" s="70">
        <v>0.49</v>
      </c>
      <c r="K9" s="115">
        <v>0.28199999999999997</v>
      </c>
    </row>
    <row r="10" spans="5:11" x14ac:dyDescent="0.25">
      <c r="E10" s="75">
        <v>7</v>
      </c>
      <c r="F10" s="71"/>
      <c r="G10" s="70"/>
      <c r="H10" s="70"/>
      <c r="I10" s="81"/>
      <c r="J10" s="81"/>
      <c r="K10" s="82"/>
    </row>
    <row r="11" spans="5:11" x14ac:dyDescent="0.25">
      <c r="E11" s="75">
        <v>8</v>
      </c>
      <c r="F11" s="71"/>
      <c r="G11" s="70"/>
      <c r="H11" s="81"/>
      <c r="I11" s="81"/>
      <c r="J11" s="81"/>
      <c r="K11" s="82"/>
    </row>
    <row r="12" spans="5:11" x14ac:dyDescent="0.25">
      <c r="E12" s="75">
        <v>9</v>
      </c>
      <c r="F12" s="71"/>
      <c r="G12" s="70"/>
      <c r="H12" s="81"/>
      <c r="I12" s="81"/>
      <c r="J12" s="81"/>
      <c r="K12" s="83"/>
    </row>
    <row r="13" spans="5:11" x14ac:dyDescent="0.25">
      <c r="E13" s="75">
        <v>10</v>
      </c>
      <c r="F13" s="71"/>
      <c r="G13" s="70"/>
      <c r="H13" s="81"/>
      <c r="I13" s="81"/>
      <c r="J13" s="81"/>
      <c r="K13" s="83"/>
    </row>
    <row r="14" spans="5:11" x14ac:dyDescent="0.25">
      <c r="E14" s="75">
        <v>11</v>
      </c>
      <c r="F14" s="71"/>
      <c r="G14" s="81"/>
      <c r="H14" s="81"/>
      <c r="I14" s="81"/>
      <c r="J14" s="81"/>
      <c r="K14" s="83"/>
    </row>
    <row r="15" spans="5:11" x14ac:dyDescent="0.25">
      <c r="E15" s="75">
        <v>12</v>
      </c>
      <c r="F15" s="71"/>
      <c r="G15" s="81"/>
      <c r="H15" s="81"/>
      <c r="I15" s="81"/>
      <c r="J15" s="81"/>
      <c r="K15" s="83"/>
    </row>
    <row r="16" spans="5:11" x14ac:dyDescent="0.25">
      <c r="E16" s="75">
        <v>13</v>
      </c>
      <c r="F16" s="71"/>
      <c r="G16" s="81"/>
      <c r="H16" s="81"/>
      <c r="I16" s="81"/>
      <c r="J16" s="81"/>
      <c r="K16" s="83"/>
    </row>
    <row r="17" spans="5:11" x14ac:dyDescent="0.25">
      <c r="E17" s="75">
        <v>14</v>
      </c>
      <c r="F17" s="71"/>
      <c r="G17" s="81"/>
      <c r="H17" s="81"/>
      <c r="I17" s="81"/>
      <c r="J17" s="81"/>
      <c r="K17" s="83"/>
    </row>
    <row r="18" spans="5:11" x14ac:dyDescent="0.25">
      <c r="E18" s="75">
        <v>15</v>
      </c>
      <c r="F18" s="71"/>
      <c r="G18" s="81"/>
      <c r="H18" s="81"/>
      <c r="I18" s="81"/>
      <c r="J18" s="81"/>
      <c r="K18" s="83"/>
    </row>
    <row r="19" spans="5:11" x14ac:dyDescent="0.25">
      <c r="E19" s="75">
        <v>16</v>
      </c>
      <c r="F19" s="71"/>
      <c r="G19" s="81"/>
      <c r="H19" s="81"/>
      <c r="I19" s="81"/>
      <c r="J19" s="81"/>
      <c r="K19" s="83"/>
    </row>
    <row r="20" spans="5:11" x14ac:dyDescent="0.25">
      <c r="E20" s="75">
        <v>17</v>
      </c>
      <c r="F20" s="71"/>
      <c r="G20" s="81"/>
      <c r="H20" s="81"/>
      <c r="I20" s="81"/>
      <c r="J20" s="81"/>
      <c r="K20" s="83"/>
    </row>
    <row r="21" spans="5:11" x14ac:dyDescent="0.25">
      <c r="E21" s="75">
        <v>18</v>
      </c>
      <c r="F21" s="71"/>
      <c r="G21" s="81"/>
      <c r="H21" s="81"/>
      <c r="I21" s="81"/>
      <c r="J21" s="81"/>
      <c r="K21" s="83"/>
    </row>
    <row r="22" spans="5:11" x14ac:dyDescent="0.25">
      <c r="E22" s="75">
        <v>19</v>
      </c>
      <c r="F22" s="71"/>
      <c r="G22" s="81"/>
      <c r="H22" s="81"/>
      <c r="I22" s="81"/>
      <c r="J22" s="81"/>
      <c r="K22" s="83"/>
    </row>
    <row r="23" spans="5:11" ht="15.75" thickBot="1" x14ac:dyDescent="0.3">
      <c r="E23" s="77">
        <v>20</v>
      </c>
      <c r="F23" s="78"/>
      <c r="G23" s="84"/>
      <c r="H23" s="84"/>
      <c r="I23" s="84"/>
      <c r="J23" s="84"/>
      <c r="K23" s="85"/>
    </row>
    <row r="24" spans="5:11" x14ac:dyDescent="0.25">
      <c r="F24" s="68"/>
    </row>
    <row r="25" spans="5:11" x14ac:dyDescent="0.25">
      <c r="F25" s="69"/>
      <c r="G25" s="69"/>
      <c r="H25" s="69"/>
      <c r="I25" s="69"/>
      <c r="J25" s="69"/>
      <c r="K25" s="69"/>
    </row>
    <row r="26" spans="5:11" x14ac:dyDescent="0.25">
      <c r="F26" s="69"/>
      <c r="G26" s="69"/>
      <c r="H26" s="69"/>
      <c r="I26" s="69"/>
      <c r="J26" s="69"/>
      <c r="K26" s="69"/>
    </row>
    <row r="27" spans="5:11" x14ac:dyDescent="0.25">
      <c r="F27" s="69"/>
      <c r="G27" s="69"/>
      <c r="H27" s="69"/>
      <c r="I27" s="69"/>
      <c r="J27" s="69"/>
      <c r="K27" s="69"/>
    </row>
    <row r="28" spans="5:11" x14ac:dyDescent="0.25">
      <c r="F28" s="69"/>
      <c r="G28" s="69"/>
      <c r="H28" s="69"/>
      <c r="I28" s="69"/>
      <c r="J28" s="69"/>
      <c r="K28" s="69"/>
    </row>
    <row r="29" spans="5:11" x14ac:dyDescent="0.25">
      <c r="F29" s="69"/>
      <c r="G29" s="69"/>
      <c r="H29" s="69"/>
      <c r="I29" s="69"/>
      <c r="J29" s="69"/>
      <c r="K29" s="69"/>
    </row>
    <row r="30" spans="5:11" x14ac:dyDescent="0.25">
      <c r="F30" s="69"/>
      <c r="G30" s="69"/>
      <c r="H30" s="69"/>
      <c r="I30" s="69"/>
      <c r="J30" s="69"/>
      <c r="K30" s="69"/>
    </row>
    <row r="31" spans="5:11" x14ac:dyDescent="0.25">
      <c r="F31" s="69"/>
      <c r="G31" s="69"/>
      <c r="H31" s="69"/>
      <c r="I31" s="69"/>
      <c r="J31" s="69"/>
      <c r="K31" s="69"/>
    </row>
    <row r="32" spans="5:11" x14ac:dyDescent="0.25">
      <c r="F32" s="69"/>
      <c r="G32" s="69"/>
      <c r="H32" s="69"/>
      <c r="I32" s="69"/>
      <c r="J32" s="69"/>
      <c r="K32" s="69"/>
    </row>
    <row r="33" spans="6:11" x14ac:dyDescent="0.25">
      <c r="F33" s="69"/>
      <c r="G33" s="69"/>
      <c r="H33" s="69"/>
      <c r="I33" s="69"/>
      <c r="J33" s="69"/>
      <c r="K33" s="69"/>
    </row>
    <row r="34" spans="6:11" x14ac:dyDescent="0.25">
      <c r="F34" s="69"/>
      <c r="G34" s="69"/>
      <c r="H34" s="69"/>
      <c r="I34" s="69"/>
      <c r="J34" s="69"/>
      <c r="K34" s="69"/>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J23"/>
  <sheetViews>
    <sheetView topLeftCell="A7" workbookViewId="0">
      <selection activeCell="F6" sqref="F6:J23"/>
    </sheetView>
  </sheetViews>
  <sheetFormatPr defaultRowHeight="15" x14ac:dyDescent="0.25"/>
  <cols>
    <col min="6" max="6" width="12.7109375" customWidth="1"/>
    <col min="7" max="7" width="18" customWidth="1"/>
    <col min="8" max="8" width="13.5703125" customWidth="1"/>
    <col min="9" max="10" width="12.7109375" customWidth="1"/>
  </cols>
  <sheetData>
    <row r="2" spans="5:10" ht="15.75" thickBot="1" x14ac:dyDescent="0.3">
      <c r="F2">
        <v>1</v>
      </c>
      <c r="G2">
        <v>2</v>
      </c>
      <c r="H2">
        <v>3</v>
      </c>
      <c r="I2">
        <v>4</v>
      </c>
      <c r="J2">
        <v>5</v>
      </c>
    </row>
    <row r="3" spans="5:10" ht="124.5" customHeight="1" x14ac:dyDescent="0.25">
      <c r="E3" s="72" t="s">
        <v>73</v>
      </c>
      <c r="F3" s="73" t="s">
        <v>74</v>
      </c>
      <c r="G3" s="73" t="s">
        <v>75</v>
      </c>
      <c r="H3" s="73" t="s">
        <v>76</v>
      </c>
      <c r="I3" s="73" t="s">
        <v>79</v>
      </c>
      <c r="J3" s="74" t="s">
        <v>77</v>
      </c>
    </row>
    <row r="4" spans="5:10" x14ac:dyDescent="0.25">
      <c r="E4" s="75">
        <v>1</v>
      </c>
      <c r="F4" s="71"/>
      <c r="G4" s="70"/>
      <c r="H4" s="70"/>
      <c r="I4" s="70"/>
      <c r="J4" s="76"/>
    </row>
    <row r="5" spans="5:10" x14ac:dyDescent="0.25">
      <c r="E5" s="75">
        <v>2</v>
      </c>
      <c r="F5" s="71"/>
      <c r="G5" s="70"/>
      <c r="H5" s="70"/>
      <c r="I5" s="70"/>
      <c r="J5" s="76"/>
    </row>
    <row r="6" spans="5:10" x14ac:dyDescent="0.25">
      <c r="E6" s="75">
        <v>3</v>
      </c>
      <c r="F6" s="71">
        <v>0.15</v>
      </c>
      <c r="G6" s="70">
        <v>4</v>
      </c>
      <c r="H6" s="70">
        <v>2</v>
      </c>
      <c r="I6" s="70">
        <v>1.5</v>
      </c>
      <c r="J6" s="76">
        <v>0.8</v>
      </c>
    </row>
    <row r="7" spans="5:10" x14ac:dyDescent="0.25">
      <c r="E7" s="75">
        <v>4</v>
      </c>
      <c r="F7" s="71">
        <v>0.15</v>
      </c>
      <c r="G7" s="70">
        <v>4</v>
      </c>
      <c r="H7" s="70">
        <v>2</v>
      </c>
      <c r="I7" s="70">
        <v>1.5</v>
      </c>
      <c r="J7" s="76">
        <v>0.8</v>
      </c>
    </row>
    <row r="8" spans="5:10" x14ac:dyDescent="0.25">
      <c r="E8" s="75">
        <v>5</v>
      </c>
      <c r="F8" s="71">
        <v>0.15</v>
      </c>
      <c r="G8" s="70">
        <v>4</v>
      </c>
      <c r="H8" s="70">
        <v>2</v>
      </c>
      <c r="I8" s="70">
        <v>1.5</v>
      </c>
      <c r="J8" s="76">
        <v>0.8</v>
      </c>
    </row>
    <row r="9" spans="5:10" x14ac:dyDescent="0.25">
      <c r="E9" s="75">
        <v>6</v>
      </c>
      <c r="F9" s="71">
        <v>0.15</v>
      </c>
      <c r="G9" s="70">
        <v>4</v>
      </c>
      <c r="H9" s="70">
        <v>2</v>
      </c>
      <c r="I9" s="70">
        <v>1.5</v>
      </c>
      <c r="J9" s="76">
        <v>0.8</v>
      </c>
    </row>
    <row r="10" spans="5:10" x14ac:dyDescent="0.25">
      <c r="E10" s="75">
        <v>7</v>
      </c>
      <c r="F10" s="71">
        <v>0.15</v>
      </c>
      <c r="G10" s="70">
        <v>4</v>
      </c>
      <c r="H10" s="70">
        <v>2</v>
      </c>
      <c r="I10" s="70">
        <v>1.5</v>
      </c>
      <c r="J10" s="76">
        <v>0.8</v>
      </c>
    </row>
    <row r="11" spans="5:10" x14ac:dyDescent="0.25">
      <c r="E11" s="75">
        <v>8</v>
      </c>
      <c r="F11" s="71">
        <v>0.15</v>
      </c>
      <c r="G11" s="70">
        <v>4</v>
      </c>
      <c r="H11" s="70">
        <v>2</v>
      </c>
      <c r="I11" s="70">
        <v>1.5</v>
      </c>
      <c r="J11" s="76">
        <v>0.8</v>
      </c>
    </row>
    <row r="12" spans="5:10" x14ac:dyDescent="0.25">
      <c r="E12" s="75">
        <v>9</v>
      </c>
      <c r="F12" s="71">
        <v>0.15</v>
      </c>
      <c r="G12" s="70">
        <v>4</v>
      </c>
      <c r="H12" s="70">
        <v>2</v>
      </c>
      <c r="I12" s="70">
        <v>1.5</v>
      </c>
      <c r="J12" s="76">
        <v>0.8</v>
      </c>
    </row>
    <row r="13" spans="5:10" x14ac:dyDescent="0.25">
      <c r="E13" s="75">
        <v>10</v>
      </c>
      <c r="F13" s="71">
        <v>0.15</v>
      </c>
      <c r="G13" s="70">
        <v>4</v>
      </c>
      <c r="H13" s="70">
        <v>2</v>
      </c>
      <c r="I13" s="70">
        <v>1.5</v>
      </c>
      <c r="J13" s="76">
        <v>0.8</v>
      </c>
    </row>
    <row r="14" spans="5:10" x14ac:dyDescent="0.25">
      <c r="E14" s="75">
        <v>11</v>
      </c>
      <c r="F14" s="71">
        <v>0.15</v>
      </c>
      <c r="G14" s="70">
        <v>4</v>
      </c>
      <c r="H14" s="70">
        <v>2</v>
      </c>
      <c r="I14" s="70">
        <v>1.5</v>
      </c>
      <c r="J14" s="76">
        <v>0.8</v>
      </c>
    </row>
    <row r="15" spans="5:10" x14ac:dyDescent="0.25">
      <c r="E15" s="75">
        <v>12</v>
      </c>
      <c r="F15" s="71">
        <v>0.15</v>
      </c>
      <c r="G15" s="70">
        <v>4</v>
      </c>
      <c r="H15" s="70">
        <v>2</v>
      </c>
      <c r="I15" s="70">
        <v>1.5</v>
      </c>
      <c r="J15" s="76">
        <v>0.8</v>
      </c>
    </row>
    <row r="16" spans="5:10" x14ac:dyDescent="0.25">
      <c r="E16" s="75">
        <v>13</v>
      </c>
      <c r="F16" s="71">
        <v>0.15</v>
      </c>
      <c r="G16" s="70">
        <v>4</v>
      </c>
      <c r="H16" s="70">
        <v>2</v>
      </c>
      <c r="I16" s="70">
        <v>1.5</v>
      </c>
      <c r="J16" s="76">
        <v>0.8</v>
      </c>
    </row>
    <row r="17" spans="5:10" x14ac:dyDescent="0.25">
      <c r="E17" s="75">
        <v>14</v>
      </c>
      <c r="F17" s="71">
        <v>0.15</v>
      </c>
      <c r="G17" s="70">
        <v>4</v>
      </c>
      <c r="H17" s="70">
        <v>2</v>
      </c>
      <c r="I17" s="70">
        <v>1.5</v>
      </c>
      <c r="J17" s="76">
        <v>0.8</v>
      </c>
    </row>
    <row r="18" spans="5:10" x14ac:dyDescent="0.25">
      <c r="E18" s="75">
        <v>15</v>
      </c>
      <c r="F18" s="71">
        <v>0.15</v>
      </c>
      <c r="G18" s="70">
        <v>4</v>
      </c>
      <c r="H18" s="70">
        <v>2</v>
      </c>
      <c r="I18" s="70">
        <v>1.5</v>
      </c>
      <c r="J18" s="76">
        <v>0.8</v>
      </c>
    </row>
    <row r="19" spans="5:10" x14ac:dyDescent="0.25">
      <c r="E19" s="75">
        <v>16</v>
      </c>
      <c r="F19" s="71">
        <v>0.15</v>
      </c>
      <c r="G19" s="70">
        <v>4</v>
      </c>
      <c r="H19" s="70">
        <v>2</v>
      </c>
      <c r="I19" s="70">
        <v>1.5</v>
      </c>
      <c r="J19" s="76">
        <v>0.8</v>
      </c>
    </row>
    <row r="20" spans="5:10" x14ac:dyDescent="0.25">
      <c r="E20" s="75">
        <v>17</v>
      </c>
      <c r="F20" s="71">
        <v>0.15</v>
      </c>
      <c r="G20" s="70">
        <v>4</v>
      </c>
      <c r="H20" s="70">
        <v>2</v>
      </c>
      <c r="I20" s="70">
        <v>1.5</v>
      </c>
      <c r="J20" s="76">
        <v>0.8</v>
      </c>
    </row>
    <row r="21" spans="5:10" x14ac:dyDescent="0.25">
      <c r="E21" s="75">
        <v>18</v>
      </c>
      <c r="F21" s="71">
        <v>0.15</v>
      </c>
      <c r="G21" s="70">
        <v>4</v>
      </c>
      <c r="H21" s="70">
        <v>2</v>
      </c>
      <c r="I21" s="70">
        <v>1.5</v>
      </c>
      <c r="J21" s="76">
        <v>0.8</v>
      </c>
    </row>
    <row r="22" spans="5:10" x14ac:dyDescent="0.25">
      <c r="E22" s="75">
        <v>19</v>
      </c>
      <c r="F22" s="71">
        <v>0.15</v>
      </c>
      <c r="G22" s="70">
        <v>4</v>
      </c>
      <c r="H22" s="70">
        <v>2</v>
      </c>
      <c r="I22" s="70">
        <v>1.5</v>
      </c>
      <c r="J22" s="76">
        <v>0.8</v>
      </c>
    </row>
    <row r="23" spans="5:10" ht="15.75" thickBot="1" x14ac:dyDescent="0.3">
      <c r="E23" s="77">
        <v>20</v>
      </c>
      <c r="F23" s="71">
        <v>0.15</v>
      </c>
      <c r="G23" s="70">
        <v>4</v>
      </c>
      <c r="H23" s="70">
        <v>2</v>
      </c>
      <c r="I23" s="79">
        <v>1.5</v>
      </c>
      <c r="J23" s="80">
        <v>0.9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F3:H4"/>
  <sheetViews>
    <sheetView workbookViewId="0">
      <selection activeCell="F17" sqref="F17"/>
    </sheetView>
  </sheetViews>
  <sheetFormatPr defaultRowHeight="15" x14ac:dyDescent="0.25"/>
  <cols>
    <col min="6" max="6" width="27.28515625" customWidth="1"/>
    <col min="7" max="7" width="21.7109375" customWidth="1"/>
    <col min="8" max="8" width="16.5703125" customWidth="1"/>
  </cols>
  <sheetData>
    <row r="3" spans="6:8" ht="45" x14ac:dyDescent="0.25">
      <c r="F3" t="s">
        <v>80</v>
      </c>
      <c r="G3" s="111" t="s">
        <v>81</v>
      </c>
    </row>
    <row r="4" spans="6:8" x14ac:dyDescent="0.25">
      <c r="F4">
        <v>10391</v>
      </c>
      <c r="G4" s="110">
        <v>100</v>
      </c>
      <c r="H4" s="110">
        <f>F4*G4</f>
        <v>1039100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D4:J6"/>
  <sheetViews>
    <sheetView workbookViewId="0">
      <selection activeCell="J5" sqref="J5"/>
    </sheetView>
  </sheetViews>
  <sheetFormatPr defaultRowHeight="15" x14ac:dyDescent="0.25"/>
  <cols>
    <col min="8" max="8" width="11.5703125" bestFit="1" customWidth="1"/>
  </cols>
  <sheetData>
    <row r="4" spans="4:10" x14ac:dyDescent="0.25">
      <c r="D4" t="s">
        <v>86</v>
      </c>
      <c r="H4">
        <v>2000</v>
      </c>
    </row>
    <row r="5" spans="4:10" x14ac:dyDescent="0.25">
      <c r="H5">
        <v>50</v>
      </c>
      <c r="I5" t="s">
        <v>82</v>
      </c>
      <c r="J5" t="s">
        <v>226</v>
      </c>
    </row>
    <row r="6" spans="4:10" x14ac:dyDescent="0.25">
      <c r="D6" t="s">
        <v>87</v>
      </c>
      <c r="H6" s="110">
        <f>H4*H5</f>
        <v>100000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9:K11"/>
  <sheetViews>
    <sheetView topLeftCell="B7" workbookViewId="0">
      <selection activeCell="D9" sqref="D9:K11"/>
    </sheetView>
  </sheetViews>
  <sheetFormatPr defaultRowHeight="15" x14ac:dyDescent="0.25"/>
  <cols>
    <col min="2" max="2" width="5.28515625" customWidth="1"/>
    <col min="4" max="4" width="18.5703125" customWidth="1"/>
    <col min="5" max="5" width="20" customWidth="1"/>
    <col min="6" max="6" width="24.140625" customWidth="1"/>
    <col min="7" max="7" width="25.42578125" customWidth="1"/>
    <col min="8" max="8" width="26.28515625" customWidth="1"/>
    <col min="9" max="9" width="24.85546875" customWidth="1"/>
    <col min="10" max="10" width="18.140625" customWidth="1"/>
    <col min="11" max="11" width="16.42578125" customWidth="1"/>
  </cols>
  <sheetData>
    <row r="9" spans="3:11" ht="57" customHeight="1" x14ac:dyDescent="0.25">
      <c r="D9" s="142" t="s">
        <v>178</v>
      </c>
      <c r="E9" s="142" t="s">
        <v>174</v>
      </c>
      <c r="F9" s="142" t="s">
        <v>175</v>
      </c>
      <c r="G9" s="142" t="s">
        <v>176</v>
      </c>
      <c r="H9" s="142" t="s">
        <v>183</v>
      </c>
      <c r="I9" s="142" t="s">
        <v>182</v>
      </c>
      <c r="J9" s="142" t="s">
        <v>184</v>
      </c>
      <c r="K9" s="145" t="s">
        <v>82</v>
      </c>
    </row>
    <row r="10" spans="3:11" x14ac:dyDescent="0.25">
      <c r="D10" s="81">
        <v>0.5</v>
      </c>
      <c r="E10" s="143">
        <v>6000</v>
      </c>
      <c r="F10" s="143">
        <v>15000</v>
      </c>
      <c r="G10" s="143">
        <v>9000</v>
      </c>
      <c r="H10" s="143">
        <f>G10*12</f>
        <v>108000</v>
      </c>
      <c r="I10" s="143">
        <v>3300</v>
      </c>
      <c r="J10" s="143">
        <f>I10*H10</f>
        <v>356400000</v>
      </c>
      <c r="K10" s="146">
        <f>J10/160</f>
        <v>2227500</v>
      </c>
    </row>
    <row r="11" spans="3:11" ht="48.75" customHeight="1" x14ac:dyDescent="0.25">
      <c r="C11" t="s">
        <v>177</v>
      </c>
      <c r="D11" s="81" t="s">
        <v>179</v>
      </c>
      <c r="E11" s="81" t="s">
        <v>180</v>
      </c>
      <c r="F11" s="81" t="s">
        <v>181</v>
      </c>
      <c r="G11" s="81"/>
      <c r="H11" s="81"/>
      <c r="I11" s="81"/>
      <c r="J11" s="81"/>
      <c r="K11" s="8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F3:H10"/>
  <sheetViews>
    <sheetView topLeftCell="A4" workbookViewId="0">
      <selection activeCell="I15" sqref="I15"/>
    </sheetView>
  </sheetViews>
  <sheetFormatPr defaultRowHeight="15" x14ac:dyDescent="0.25"/>
  <cols>
    <col min="6" max="6" width="23.28515625" customWidth="1"/>
    <col min="7" max="7" width="18" bestFit="1" customWidth="1"/>
  </cols>
  <sheetData>
    <row r="3" spans="6:8" ht="17.25" x14ac:dyDescent="0.25">
      <c r="F3" t="s">
        <v>88</v>
      </c>
      <c r="G3">
        <v>159</v>
      </c>
    </row>
    <row r="4" spans="6:8" ht="32.25" x14ac:dyDescent="0.25">
      <c r="F4" s="111" t="s">
        <v>89</v>
      </c>
      <c r="G4">
        <v>10</v>
      </c>
      <c r="H4" t="s">
        <v>90</v>
      </c>
    </row>
    <row r="5" spans="6:8" ht="45" x14ac:dyDescent="0.25">
      <c r="F5" s="111" t="s">
        <v>91</v>
      </c>
      <c r="G5" s="110">
        <f>10*60*60*159</f>
        <v>5724000</v>
      </c>
      <c r="H5" t="s">
        <v>90</v>
      </c>
    </row>
    <row r="6" spans="6:8" ht="30" x14ac:dyDescent="0.25">
      <c r="F6" s="111" t="s">
        <v>92</v>
      </c>
      <c r="G6">
        <v>213</v>
      </c>
    </row>
    <row r="7" spans="6:8" ht="30" x14ac:dyDescent="0.25">
      <c r="F7" s="111" t="s">
        <v>93</v>
      </c>
      <c r="G7" s="113">
        <f>G5*G6</f>
        <v>1219212000</v>
      </c>
      <c r="H7" t="s">
        <v>90</v>
      </c>
    </row>
    <row r="8" spans="6:8" ht="45" x14ac:dyDescent="0.25">
      <c r="F8" s="111" t="s">
        <v>96</v>
      </c>
      <c r="G8" s="113">
        <f>G7/1000</f>
        <v>1219212</v>
      </c>
    </row>
    <row r="9" spans="6:8" x14ac:dyDescent="0.25">
      <c r="F9" s="111" t="s">
        <v>94</v>
      </c>
      <c r="G9" s="113">
        <f>G8*25</f>
        <v>30480300</v>
      </c>
      <c r="H9" t="s">
        <v>95</v>
      </c>
    </row>
    <row r="10" spans="6:8" x14ac:dyDescent="0.25">
      <c r="G10" s="113">
        <f>G9/160</f>
        <v>190501.875</v>
      </c>
      <c r="H10" t="s">
        <v>82</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3:J11"/>
  <sheetViews>
    <sheetView topLeftCell="A3" workbookViewId="0">
      <selection activeCell="K20" sqref="K20"/>
    </sheetView>
  </sheetViews>
  <sheetFormatPr defaultRowHeight="15" x14ac:dyDescent="0.25"/>
  <cols>
    <col min="8" max="8" width="46.28515625" customWidth="1"/>
    <col min="9" max="9" width="16.7109375" bestFit="1" customWidth="1"/>
  </cols>
  <sheetData>
    <row r="3" spans="4:10" x14ac:dyDescent="0.25">
      <c r="D3" t="s">
        <v>109</v>
      </c>
      <c r="I3">
        <v>300</v>
      </c>
    </row>
    <row r="4" spans="4:10" hidden="1" x14ac:dyDescent="0.25">
      <c r="D4" t="s">
        <v>103</v>
      </c>
      <c r="I4">
        <v>4</v>
      </c>
    </row>
    <row r="5" spans="4:10" hidden="1" x14ac:dyDescent="0.25">
      <c r="D5" t="s">
        <v>104</v>
      </c>
      <c r="I5">
        <v>40000</v>
      </c>
      <c r="J5" t="s">
        <v>105</v>
      </c>
    </row>
    <row r="6" spans="4:10" hidden="1" x14ac:dyDescent="0.25">
      <c r="D6" t="s">
        <v>106</v>
      </c>
      <c r="I6">
        <f>9000*4</f>
        <v>36000</v>
      </c>
    </row>
    <row r="7" spans="4:10" x14ac:dyDescent="0.25">
      <c r="D7" t="s">
        <v>107</v>
      </c>
      <c r="I7">
        <f>I5/I6</f>
        <v>1.1111111111111112</v>
      </c>
      <c r="J7" t="s">
        <v>111</v>
      </c>
    </row>
    <row r="8" spans="4:10" x14ac:dyDescent="0.25">
      <c r="D8" t="s">
        <v>185</v>
      </c>
      <c r="I8">
        <f>I7*300</f>
        <v>333.33333333333337</v>
      </c>
      <c r="J8" t="s">
        <v>105</v>
      </c>
    </row>
    <row r="9" spans="4:10" x14ac:dyDescent="0.25">
      <c r="D9" t="s">
        <v>108</v>
      </c>
      <c r="I9">
        <f>300/100*30</f>
        <v>90</v>
      </c>
      <c r="J9" t="s">
        <v>112</v>
      </c>
    </row>
    <row r="10" spans="4:10" x14ac:dyDescent="0.25">
      <c r="D10" t="s">
        <v>110</v>
      </c>
      <c r="I10" s="110">
        <f>90*2500000</f>
        <v>225000000</v>
      </c>
      <c r="J10" t="s">
        <v>95</v>
      </c>
    </row>
    <row r="11" spans="4:10" x14ac:dyDescent="0.25">
      <c r="I11" s="113">
        <f>I10/160</f>
        <v>1406250</v>
      </c>
      <c r="J11" t="s">
        <v>82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문서" ma:contentTypeID="0x01010000979F12F22C9E4F9273E32F354CEDB7" ma:contentTypeVersion="14" ma:contentTypeDescription="새 문서를 만듭니다." ma:contentTypeScope="" ma:versionID="3bf1687f86b170ca9dffe85a3dea5a46">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86d4077292c15904217b21caa8e4d4d1"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공유 대상"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세부 정보 공유"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콘텐츠 형식"/>
        <xsd:element ref="dc:title" minOccurs="0" maxOccurs="1" ma:index="4" ma:displayName="제목"/>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1737D56D-2ED5-4EE6-9257-0CB605A7CF47}"/>
</file>

<file path=customXml/itemProps2.xml><?xml version="1.0" encoding="utf-8"?>
<ds:datastoreItem xmlns:ds="http://schemas.openxmlformats.org/officeDocument/2006/customXml" ds:itemID="{71EE8051-0FAA-4E4C-9FAA-6FA9C142EC26}"/>
</file>

<file path=customXml/itemProps3.xml><?xml version="1.0" encoding="utf-8"?>
<ds:datastoreItem xmlns:ds="http://schemas.openxmlformats.org/officeDocument/2006/customXml" ds:itemID="{ACE1206A-3344-475F-9361-943DCD58F15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SAMPLE</vt:lpstr>
      <vt:lpstr>Economic Analysis</vt:lpstr>
      <vt:lpstr>Costs</vt:lpstr>
      <vt:lpstr>Benefits</vt:lpstr>
      <vt:lpstr>Reduction of sediment</vt:lpstr>
      <vt:lpstr>Streamside Protection</vt:lpstr>
      <vt:lpstr>Agriculture increase</vt:lpstr>
      <vt:lpstr>Run off water usage </vt:lpstr>
      <vt:lpstr>Planned Landscape</vt:lpstr>
      <vt:lpstr>Value Chain </vt:lpstr>
      <vt:lpstr>Weather forecasting capacity</vt:lpstr>
      <vt:lpstr>Additional employment</vt:lpstr>
      <vt:lpstr>Tanks and Ponds</vt:lpstr>
      <vt:lpstr>Community forestry </vt:lpstr>
      <vt:lpstr>Income from conservation</vt:lpstr>
      <vt:lpstr>Eco Tourism</vt:lpstr>
      <vt:lpstr>Green Agriculture Benefits</vt:lpstr>
      <vt:lpstr>Sheet5</vt:lpstr>
      <vt:lpstr>Sheet4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Krishani</cp:lastModifiedBy>
  <cp:lastPrinted>2019-09-12T10:12:59Z</cp:lastPrinted>
  <dcterms:created xsi:type="dcterms:W3CDTF">2018-12-02T22:43:34Z</dcterms:created>
  <dcterms:modified xsi:type="dcterms:W3CDTF">2020-02-11T03:43:55Z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