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2.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worksheets/sheet3.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xl/comments1.xml" ContentType="application/vnd.openxmlformats-officedocument.spreadsheetml.comment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105" windowWidth="19395" windowHeight="10395" activeTab="1"/>
  </bookViews>
  <sheets>
    <sheet name="Benefit-cost" sheetId="22" r:id="rId1"/>
    <sheet name="Carbon benefit" sheetId="33" r:id="rId2"/>
    <sheet name="Summary Budget PLAN SAP NIGER" sheetId="32" r:id="rId3"/>
  </sheets>
  <externalReferences>
    <externalReference r:id="rId4"/>
  </externalReferences>
  <definedNames>
    <definedName name="Categories">OFFSET('[1]Title Lists'!#REF!,0,0,COUNTA('[1]Title Lists'!#REF!)-1,1)</definedName>
    <definedName name="Components">OFFSET('[1]Title Lists'!$B$2,0,0,COUNTA('[1]Title Lists'!$B:$B)-1,1)</definedName>
    <definedName name="Funding">OFFSET('[1]Title Lists'!#REF!,0,0,COUNTA('[1]Title Lists'!#REF!)-1,1)</definedName>
    <definedName name="Outputs">OFFSET('[1]Title Lists'!#REF!,0,0,COUNTA('[1]Title Lists'!#REF!)-1,1)</definedName>
    <definedName name="_xlnm.Print_Area" localSheetId="2">'Summary Budget PLAN SAP NIGER'!$A$4:$O$43</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13" i="22" l="1"/>
  <c r="C25" i="33"/>
  <c r="C23" i="33"/>
  <c r="Q20" i="22" s="1"/>
  <c r="I13" i="22"/>
  <c r="J13" i="22"/>
  <c r="K13" i="22"/>
  <c r="L13" i="22"/>
  <c r="M13" i="22"/>
  <c r="N13" i="22"/>
  <c r="O13" i="22"/>
  <c r="P13" i="22"/>
  <c r="D6" i="22"/>
  <c r="D5" i="22"/>
  <c r="E5" i="22"/>
  <c r="F5" i="22"/>
  <c r="G5" i="22"/>
  <c r="C5" i="22"/>
  <c r="C4" i="22"/>
  <c r="D3" i="22"/>
  <c r="E19" i="22" s="1"/>
  <c r="E3" i="22"/>
  <c r="F19" i="22" s="1"/>
  <c r="F3" i="22"/>
  <c r="G19" i="22" s="1"/>
  <c r="G3" i="22"/>
  <c r="H19" i="22" s="1"/>
  <c r="C3" i="22"/>
  <c r="N43" i="32"/>
  <c r="M43" i="32"/>
  <c r="L43" i="32"/>
  <c r="K43" i="32"/>
  <c r="J43" i="32"/>
  <c r="N42" i="32"/>
  <c r="M42" i="32"/>
  <c r="L42" i="32"/>
  <c r="K42" i="32"/>
  <c r="J42" i="32"/>
  <c r="X38" i="32"/>
  <c r="R37" i="32"/>
  <c r="S37" i="32" s="1"/>
  <c r="Q37" i="32"/>
  <c r="G37" i="32"/>
  <c r="X36" i="32"/>
  <c r="R36" i="32"/>
  <c r="S36" i="32" s="1"/>
  <c r="X34" i="32"/>
  <c r="N34" i="32"/>
  <c r="G6" i="22" s="1"/>
  <c r="M34" i="32"/>
  <c r="M41" i="32" s="1"/>
  <c r="M45" i="32" s="1"/>
  <c r="L34" i="32"/>
  <c r="K34" i="32"/>
  <c r="J34" i="32"/>
  <c r="R33" i="32"/>
  <c r="S33" i="32" s="1"/>
  <c r="R32" i="32"/>
  <c r="S32" i="32" s="1"/>
  <c r="R31" i="32"/>
  <c r="I31" i="32"/>
  <c r="R30" i="32"/>
  <c r="S30" i="32" s="1"/>
  <c r="R29" i="32"/>
  <c r="I29" i="32"/>
  <c r="R28" i="32"/>
  <c r="I28" i="32"/>
  <c r="S28" i="32" s="1"/>
  <c r="S27" i="32"/>
  <c r="R27" i="32"/>
  <c r="R26" i="32"/>
  <c r="S26" i="32" s="1"/>
  <c r="I26" i="32"/>
  <c r="R25" i="32"/>
  <c r="I25" i="32"/>
  <c r="N24" i="32"/>
  <c r="N38" i="32" s="1"/>
  <c r="M24" i="32"/>
  <c r="M38" i="32" s="1"/>
  <c r="L24" i="32"/>
  <c r="L38" i="32" s="1"/>
  <c r="K24" i="32"/>
  <c r="K38" i="32" s="1"/>
  <c r="J24" i="32"/>
  <c r="R23" i="32"/>
  <c r="S23" i="32" s="1"/>
  <c r="R22" i="32"/>
  <c r="I22" i="32"/>
  <c r="S22" i="32" s="1"/>
  <c r="R21" i="32"/>
  <c r="S21" i="32" s="1"/>
  <c r="R20" i="32"/>
  <c r="S20" i="32" s="1"/>
  <c r="R19" i="32"/>
  <c r="S19" i="32" s="1"/>
  <c r="I19" i="32"/>
  <c r="R18" i="32"/>
  <c r="S18" i="32" s="1"/>
  <c r="R17" i="32"/>
  <c r="S17" i="32" s="1"/>
  <c r="S16" i="32"/>
  <c r="R16" i="32"/>
  <c r="R15" i="32"/>
  <c r="S15" i="32" s="1"/>
  <c r="S14" i="32"/>
  <c r="R14" i="32"/>
  <c r="R13" i="32"/>
  <c r="S13" i="32" s="1"/>
  <c r="R12" i="32"/>
  <c r="S12" i="32" s="1"/>
  <c r="R11" i="32"/>
  <c r="I11" i="32"/>
  <c r="R10" i="32"/>
  <c r="S10" i="32" s="1"/>
  <c r="R9" i="32"/>
  <c r="I9" i="32"/>
  <c r="R8" i="32"/>
  <c r="I8" i="32"/>
  <c r="I43" i="32" s="1"/>
  <c r="S7" i="32"/>
  <c r="R7" i="32"/>
  <c r="I7" i="32"/>
  <c r="Z6" i="32"/>
  <c r="Y6" i="32"/>
  <c r="X6" i="32"/>
  <c r="W6" i="32"/>
  <c r="V6" i="32"/>
  <c r="R6" i="32"/>
  <c r="I6" i="32"/>
  <c r="I42" i="32" s="1"/>
  <c r="Q28" i="32" l="1"/>
  <c r="Q9" i="32"/>
  <c r="Q33" i="32"/>
  <c r="Q43" i="32" s="1"/>
  <c r="B2" i="32" s="1"/>
  <c r="R24" i="32"/>
  <c r="S24" i="32" s="1"/>
  <c r="R34" i="32"/>
  <c r="S34" i="32" s="1"/>
  <c r="E4" i="22"/>
  <c r="K41" i="32"/>
  <c r="K45" i="32" s="1"/>
  <c r="D4" i="22"/>
  <c r="F6" i="22"/>
  <c r="S11" i="32"/>
  <c r="S31" i="32"/>
  <c r="L41" i="32"/>
  <c r="L45" i="32" s="1"/>
  <c r="L46" i="32" s="1"/>
  <c r="E6" i="22"/>
  <c r="S8" i="32"/>
  <c r="N41" i="32"/>
  <c r="N45" i="32" s="1"/>
  <c r="N46" i="32" s="1"/>
  <c r="I41" i="32"/>
  <c r="I45" i="32" s="1"/>
  <c r="I46" i="32" s="1"/>
  <c r="G4" i="22"/>
  <c r="S9" i="32"/>
  <c r="F4" i="22"/>
  <c r="C6" i="22"/>
  <c r="Y7" i="32"/>
  <c r="AA6" i="32"/>
  <c r="K46" i="32"/>
  <c r="R38" i="32"/>
  <c r="M46" i="32"/>
  <c r="S25" i="32"/>
  <c r="J41" i="32"/>
  <c r="J45" i="32" s="1"/>
  <c r="J38" i="32"/>
  <c r="V7" i="32"/>
  <c r="I38" i="32"/>
  <c r="S6" i="32"/>
  <c r="S29" i="32"/>
  <c r="S38" i="32" l="1"/>
  <c r="AA7" i="32"/>
  <c r="J46" i="32"/>
  <c r="L15" i="22" l="1"/>
  <c r="R54" i="22"/>
  <c r="S54" i="22"/>
  <c r="I15" i="22"/>
  <c r="C21" i="22"/>
  <c r="C39" i="22" s="1"/>
  <c r="B21" i="22"/>
  <c r="B39" i="22" s="1"/>
  <c r="K15" i="22" l="1"/>
  <c r="J15" i="22"/>
  <c r="Q15" i="22"/>
  <c r="P15" i="22"/>
  <c r="W54" i="22"/>
  <c r="V54" i="22"/>
  <c r="U54" i="22"/>
  <c r="T54" i="22"/>
  <c r="B6" i="22"/>
  <c r="B5" i="22"/>
  <c r="B4" i="22"/>
  <c r="B3" i="22"/>
  <c r="I19" i="22" s="1"/>
  <c r="O15" i="22" l="1"/>
  <c r="N15" i="22"/>
  <c r="M15" i="22"/>
  <c r="F8" i="22"/>
  <c r="C8" i="22"/>
  <c r="G8" i="22"/>
  <c r="B8" i="22"/>
  <c r="I8" i="22"/>
  <c r="D8" i="22"/>
  <c r="H8" i="22"/>
  <c r="E8" i="22"/>
  <c r="D13" i="22" l="1"/>
  <c r="D15" i="22" s="1"/>
  <c r="B13" i="22"/>
  <c r="B15" i="22" s="1"/>
  <c r="C13" i="22"/>
  <c r="C15" i="22" s="1"/>
  <c r="H13" i="22"/>
  <c r="H15" i="22" s="1"/>
  <c r="G13" i="22"/>
  <c r="G15" i="22" s="1"/>
  <c r="F13" i="22"/>
  <c r="F15" i="22" s="1"/>
  <c r="E13" i="22"/>
  <c r="E15" i="22" s="1"/>
  <c r="B54" i="22"/>
  <c r="D36" i="22" l="1"/>
  <c r="D66" i="22" s="1"/>
  <c r="D51" i="22"/>
  <c r="C51" i="22"/>
  <c r="C24" i="22"/>
  <c r="C36" i="22"/>
  <c r="C66" i="22" s="1"/>
  <c r="B24" i="22"/>
  <c r="B36" i="22"/>
  <c r="B42" i="22" s="1"/>
  <c r="B51" i="22"/>
  <c r="B57" i="22" s="1"/>
  <c r="E36" i="22"/>
  <c r="E66" i="22" s="1"/>
  <c r="E51" i="22"/>
  <c r="Q51" i="22"/>
  <c r="Q36" i="22"/>
  <c r="Q66" i="22" s="1"/>
  <c r="I51" i="22"/>
  <c r="I36" i="22"/>
  <c r="C54" i="22"/>
  <c r="B69" i="22"/>
  <c r="G36" i="22"/>
  <c r="G51" i="22"/>
  <c r="F51" i="22"/>
  <c r="F36" i="22"/>
  <c r="H36" i="22"/>
  <c r="H51" i="22"/>
  <c r="C42" i="22" l="1"/>
  <c r="B66" i="22"/>
  <c r="B72" i="22" s="1"/>
  <c r="G66" i="22"/>
  <c r="H66" i="22"/>
  <c r="F66" i="22"/>
  <c r="I66" i="22"/>
  <c r="J36" i="22"/>
  <c r="J51" i="22"/>
  <c r="C69" i="22"/>
  <c r="C72" i="22" s="1"/>
  <c r="C57" i="22"/>
  <c r="J66" i="22" l="1"/>
  <c r="K36" i="22"/>
  <c r="K51" i="22"/>
  <c r="K66" i="22" l="1"/>
  <c r="L36" i="22"/>
  <c r="L51" i="22"/>
  <c r="M51" i="22" l="1"/>
  <c r="M36" i="22"/>
  <c r="L66" i="22"/>
  <c r="M66" i="22" l="1"/>
  <c r="N36" i="22"/>
  <c r="N51" i="22"/>
  <c r="P36" i="22" l="1"/>
  <c r="P51" i="22"/>
  <c r="O36" i="22"/>
  <c r="O51" i="22"/>
  <c r="N66" i="22"/>
  <c r="O66" i="22" l="1"/>
  <c r="P66" i="22"/>
  <c r="E21" i="22" l="1"/>
  <c r="F21" i="22"/>
  <c r="D21" i="22" l="1"/>
  <c r="D39" i="22" s="1"/>
  <c r="E39" i="22"/>
  <c r="E54" i="22" s="1"/>
  <c r="E24" i="22"/>
  <c r="F24" i="22"/>
  <c r="F39" i="22"/>
  <c r="G21" i="22"/>
  <c r="D24" i="22" l="1"/>
  <c r="E42" i="22"/>
  <c r="D42" i="22"/>
  <c r="D54" i="22"/>
  <c r="G24" i="22"/>
  <c r="G39" i="22"/>
  <c r="H21" i="22"/>
  <c r="F54" i="22"/>
  <c r="F42" i="22"/>
  <c r="E69" i="22"/>
  <c r="E72" i="22" s="1"/>
  <c r="E57" i="22"/>
  <c r="D69" i="22" l="1"/>
  <c r="D72" i="22" s="1"/>
  <c r="D57" i="22"/>
  <c r="H24" i="22"/>
  <c r="H39" i="22"/>
  <c r="F69" i="22"/>
  <c r="F72" i="22" s="1"/>
  <c r="F57" i="22"/>
  <c r="I21" i="22"/>
  <c r="G42" i="22"/>
  <c r="G54" i="22"/>
  <c r="I24" i="22" l="1"/>
  <c r="I39" i="22"/>
  <c r="J19" i="22"/>
  <c r="J21" i="22" s="1"/>
  <c r="G57" i="22"/>
  <c r="G69" i="22"/>
  <c r="G72" i="22" s="1"/>
  <c r="H54" i="22"/>
  <c r="H42" i="22"/>
  <c r="J24" i="22" l="1"/>
  <c r="J39" i="22"/>
  <c r="I54" i="22"/>
  <c r="I42" i="22"/>
  <c r="H69" i="22"/>
  <c r="H72" i="22" s="1"/>
  <c r="H57" i="22"/>
  <c r="K19" i="22"/>
  <c r="K21" i="22" s="1"/>
  <c r="K24" i="22" l="1"/>
  <c r="K39" i="22"/>
  <c r="I57" i="22"/>
  <c r="I69" i="22"/>
  <c r="I72" i="22" s="1"/>
  <c r="J54" i="22"/>
  <c r="J42" i="22"/>
  <c r="L19" i="22"/>
  <c r="L21" i="22" s="1"/>
  <c r="L24" i="22" l="1"/>
  <c r="L39" i="22"/>
  <c r="K54" i="22"/>
  <c r="K42" i="22"/>
  <c r="M19" i="22"/>
  <c r="M21" i="22" s="1"/>
  <c r="J57" i="22"/>
  <c r="J69" i="22"/>
  <c r="J72" i="22" s="1"/>
  <c r="M24" i="22" l="1"/>
  <c r="M39" i="22"/>
  <c r="K57" i="22"/>
  <c r="K69" i="22"/>
  <c r="K72" i="22" s="1"/>
  <c r="L54" i="22"/>
  <c r="L42" i="22"/>
  <c r="N19" i="22"/>
  <c r="N21" i="22" s="1"/>
  <c r="N24" i="22" l="1"/>
  <c r="N39" i="22"/>
  <c r="O19" i="22"/>
  <c r="O21" i="22" s="1"/>
  <c r="L57" i="22"/>
  <c r="L69" i="22"/>
  <c r="L72" i="22" s="1"/>
  <c r="M54" i="22"/>
  <c r="M42" i="22"/>
  <c r="O24" i="22" l="1"/>
  <c r="O39" i="22"/>
  <c r="M57" i="22"/>
  <c r="M69" i="22"/>
  <c r="M72" i="22" s="1"/>
  <c r="P19" i="22"/>
  <c r="N54" i="22"/>
  <c r="N42" i="22"/>
  <c r="P21" i="22" l="1"/>
  <c r="Q19" i="22"/>
  <c r="O42" i="22"/>
  <c r="O54" i="22"/>
  <c r="N57" i="22"/>
  <c r="N69" i="22"/>
  <c r="N72" i="22" s="1"/>
  <c r="Q21" i="22" l="1"/>
  <c r="P24" i="22"/>
  <c r="P39" i="22"/>
  <c r="P54" i="22" s="1"/>
  <c r="O69" i="22"/>
  <c r="O72" i="22" s="1"/>
  <c r="O57" i="22"/>
  <c r="Q24" i="22" l="1"/>
  <c r="Q39" i="22"/>
  <c r="P42" i="22"/>
  <c r="P69" i="22"/>
  <c r="P72" i="22" s="1"/>
  <c r="P57" i="22"/>
  <c r="Q42" i="22" l="1"/>
  <c r="Q54" i="22"/>
  <c r="Q69" i="22" l="1"/>
  <c r="Q72" i="22" s="1"/>
  <c r="Q57" i="22"/>
  <c r="B27" i="22" l="1"/>
  <c r="B79" i="22" s="1"/>
  <c r="D27" i="22"/>
  <c r="D79" i="22" s="1"/>
  <c r="D45" i="22" l="1"/>
  <c r="D80" i="22" s="1"/>
  <c r="B45" i="22"/>
  <c r="B80" i="22" s="1"/>
  <c r="B75" i="22" l="1"/>
  <c r="B82" i="22" s="1"/>
  <c r="D75" i="22"/>
  <c r="D82" i="22" s="1"/>
  <c r="D60" i="22"/>
  <c r="D81" i="22" s="1"/>
  <c r="B60" i="22"/>
  <c r="B81" i="22" s="1"/>
</calcChain>
</file>

<file path=xl/comments1.xml><?xml version="1.0" encoding="utf-8"?>
<comments xmlns="http://schemas.openxmlformats.org/spreadsheetml/2006/main">
  <authors>
    <author>Rossiter, Jack</author>
  </authors>
  <commentList>
    <comment ref="N6" authorId="0">
      <text>
        <r>
          <rPr>
            <b/>
            <sz val="9"/>
            <color rgb="FF000000"/>
            <rFont val="Tahoma"/>
            <family val="2"/>
          </rPr>
          <t>Rossiter, Jack:</t>
        </r>
        <r>
          <rPr>
            <sz val="9"/>
            <color rgb="FF000000"/>
            <rFont val="Tahoma"/>
            <family val="2"/>
          </rPr>
          <t xml:space="preserve">
</t>
        </r>
        <r>
          <rPr>
            <sz val="9"/>
            <color rgb="FF000000"/>
            <rFont val="Tahoma"/>
            <family val="2"/>
          </rPr>
          <t xml:space="preserve">Different to that reported in A1 on the detailed budget notes sheet. 
</t>
        </r>
      </text>
    </comment>
  </commentList>
</comments>
</file>

<file path=xl/sharedStrings.xml><?xml version="1.0" encoding="utf-8"?>
<sst xmlns="http://schemas.openxmlformats.org/spreadsheetml/2006/main" count="286" uniqueCount="186">
  <si>
    <t>Total</t>
  </si>
  <si>
    <t>Capital cost</t>
  </si>
  <si>
    <t>Cost of Project</t>
  </si>
  <si>
    <t>Investment</t>
  </si>
  <si>
    <t xml:space="preserve">Benefits </t>
  </si>
  <si>
    <t>Net annual benefits</t>
  </si>
  <si>
    <t>NPV</t>
  </si>
  <si>
    <t>SENSITIVITY ANALYSIS</t>
  </si>
  <si>
    <t>IRR</t>
  </si>
  <si>
    <t>Cost of the project: 20% more than base case</t>
  </si>
  <si>
    <t>Benefits of the project: 20% less than base case</t>
  </si>
  <si>
    <t>Cost 20% more and Benefits 20% less</t>
  </si>
  <si>
    <t>Base case</t>
  </si>
  <si>
    <t>Other Cost PMU</t>
  </si>
  <si>
    <t>Project name : Inclusive Green Financing for climate resilient  and  low emission smallholder agriculture</t>
  </si>
  <si>
    <t>Budget EUR</t>
  </si>
  <si>
    <t>Exchange rate  (USD- EUR): 0,85</t>
  </si>
  <si>
    <t>Detailed budget</t>
  </si>
  <si>
    <t>Annual Budget</t>
  </si>
  <si>
    <t>**Budget notes</t>
  </si>
  <si>
    <t>Years Check T/F</t>
  </si>
  <si>
    <t>Sum of all Funding Sources Check</t>
  </si>
  <si>
    <t xml:space="preserve">Component </t>
  </si>
  <si>
    <t>Output</t>
  </si>
  <si>
    <t>Activity</t>
  </si>
  <si>
    <t xml:space="preserve">Funding Source </t>
  </si>
  <si>
    <t>Budget Categories</t>
  </si>
  <si>
    <t xml:space="preserve"> Unit</t>
  </si>
  <si>
    <t xml:space="preserve">Unit Cost </t>
  </si>
  <si>
    <t># Unit</t>
  </si>
  <si>
    <t>Total Cost</t>
  </si>
  <si>
    <t>Y1</t>
  </si>
  <si>
    <t>Y2</t>
  </si>
  <si>
    <t>Y3</t>
  </si>
  <si>
    <t>Y4</t>
  </si>
  <si>
    <t>Y5</t>
  </si>
  <si>
    <t>Totals Y1-5</t>
  </si>
  <si>
    <t>Check</t>
  </si>
  <si>
    <t>GCF GRANT</t>
  </si>
  <si>
    <t>GCF Loan</t>
  </si>
  <si>
    <t>BAGRI-Loan</t>
  </si>
  <si>
    <t>IFAD-Loan</t>
  </si>
  <si>
    <t>IFAD-Grant</t>
  </si>
  <si>
    <t>Component 1. Innovative Financing Mechanism  to foster the best adaptation practices and  use of renewable energy along agricultural value chains.   (8,560,000)</t>
  </si>
  <si>
    <t>Output 1.1: Established Financing Facility within BAGRI with a line of credit to support concessional loans by FO, MSMEs cooperatives, commercial banks to adopt the best adaptation practices along agricultural value chains to increased yields for agricultural produce in the face of increasing droughts.</t>
  </si>
  <si>
    <t>1.1.1: Functional line of credit for adaptation</t>
  </si>
  <si>
    <t>On-lending resource</t>
  </si>
  <si>
    <t>Service</t>
  </si>
  <si>
    <t>A1</t>
  </si>
  <si>
    <t>GCF-Loan</t>
  </si>
  <si>
    <t>A2</t>
  </si>
  <si>
    <t>Total GCF</t>
  </si>
  <si>
    <t>Total Co-Finance</t>
  </si>
  <si>
    <t xml:space="preserve">Output 1.2: Established Financing Facility within BAGRI with a line of credit to support concessional loans by FO, MSMEs cooperatives, commercial banks and solar operators to adopt the use RETs to power the agricultural value chain </t>
  </si>
  <si>
    <t>1.1.2: Functional line of credit  for energy for agriculture</t>
  </si>
  <si>
    <t xml:space="preserve">BAGRI-loan </t>
  </si>
  <si>
    <t>A3</t>
  </si>
  <si>
    <t>A4</t>
  </si>
  <si>
    <t>1.1.3. Set up the  two  line of credit  .1.1.1 and 1.1.2.</t>
  </si>
  <si>
    <t>GCF-Grant</t>
  </si>
  <si>
    <t>Operational cost to set up the two lines of credit under Output 1.1. and Output 1.2.</t>
  </si>
  <si>
    <t>A5</t>
  </si>
  <si>
    <t>Component 2. Capacity-building and technical assistance for FOs, cooperatives, MSMEs and BAGRI (1,978,500)</t>
  </si>
  <si>
    <t xml:space="preserve">Output 2.1: Strengthened capacity and business planning  for FOs and or cooperatives, MSMEs including solar operators ( disaggregated by  gender and Youth ),  to design business plans  and  access green lines products  from BAGRI and other MFIs and commercial banks and   implement diversified, climate resilient livelihood options
</t>
  </si>
  <si>
    <t>2.1.1: Capacity building on Business Plan development</t>
  </si>
  <si>
    <t>Consultants, travels, workshop</t>
  </si>
  <si>
    <t>Lump sum</t>
  </si>
  <si>
    <t>B1</t>
  </si>
  <si>
    <t>2.1.2: Capacity building on financial climate resilient products</t>
  </si>
  <si>
    <t>B2</t>
  </si>
  <si>
    <t>2.1.3: Capacity building/Promoting climate resilient agriculture and EbA</t>
  </si>
  <si>
    <t>B3</t>
  </si>
  <si>
    <t>2.1.4: Capacity building/ promoting renewable energy for agriculture</t>
  </si>
  <si>
    <t>B4</t>
  </si>
  <si>
    <t>2.1.5 Support FOs, MSMEs led by women and youth to structure their businesses</t>
  </si>
  <si>
    <t>B5</t>
  </si>
  <si>
    <t>Output 2.2: Improved readiness and capacities of BAGRI and MFIs MFI partners to seize  market opportunities  for lending to  FOs, Cooperatives, MSMEs that invest on low emission and climate resilient agriculture</t>
  </si>
  <si>
    <t>2.2.1: Technical assistance on green lending and climate risk management</t>
  </si>
  <si>
    <t>B6</t>
  </si>
  <si>
    <t>2.2.2: Technical assistance for BAGRI accreditation to the GCF</t>
  </si>
  <si>
    <t>B7</t>
  </si>
  <si>
    <t>2.2.3 Technical Assistance to enhance governance and management of loan products and green lines</t>
  </si>
  <si>
    <t>Consultants, technical assistance, studies, travel</t>
  </si>
  <si>
    <t>B8</t>
  </si>
  <si>
    <t>2.2.4 Development of a package of tools and instruments</t>
  </si>
  <si>
    <t xml:space="preserve">Consultants, technical assistance, studies, travel, implementation of tools </t>
  </si>
  <si>
    <t>B9</t>
  </si>
  <si>
    <t>2.2.5: Awareness raising and training on climate resilient agriculture</t>
  </si>
  <si>
    <t>B10</t>
  </si>
  <si>
    <t>Output 2.3: : Improved policy dialogue, advocacy and learning,  Knowledge management ,  information dissemination and stakeholder engagement</t>
  </si>
  <si>
    <t>2.3.1: Round table and events</t>
  </si>
  <si>
    <t>Travel, workshops, studies and publications</t>
  </si>
  <si>
    <t>Events</t>
  </si>
  <si>
    <t>B11</t>
  </si>
  <si>
    <t>2.3.2: Organize South-South and triangular cooperation visit tour for experience sharing</t>
  </si>
  <si>
    <t>Travel, workshops</t>
  </si>
  <si>
    <t>Tour visits</t>
  </si>
  <si>
    <t>B12</t>
  </si>
  <si>
    <t>2.3.3: Knowledge management</t>
  </si>
  <si>
    <t>Consultants, studies and publications</t>
  </si>
  <si>
    <t>Com. Materials</t>
  </si>
  <si>
    <t>B13</t>
  </si>
  <si>
    <t>2.3.4. Information sharing and dissemination, Stakeholder engagement strategy implemented</t>
  </si>
  <si>
    <t>PMU (staff time), Consultants, travels, workshop</t>
  </si>
  <si>
    <t>B14</t>
  </si>
  <si>
    <t>Output 2.4: More women and youth entrepreneurs engaged in EbA, Energy, climate resilient agriculture, including at decision making levels</t>
  </si>
  <si>
    <t>2.4.1: Improve financial literacy for women and youth</t>
  </si>
  <si>
    <t>Consultants, studies and travel</t>
  </si>
  <si>
    <t>B15</t>
  </si>
  <si>
    <t>2.4.2: Capacity building to ensure women and youth are actively involved in natural resources management committees</t>
  </si>
  <si>
    <t>B16</t>
  </si>
  <si>
    <t>2.4.3: Carry out surveys on gender inclusive natural resource management practices</t>
  </si>
  <si>
    <t>B17</t>
  </si>
  <si>
    <t>2.4.4: Women are represented in the decision making process and reviewing business plans from clients</t>
  </si>
  <si>
    <t>Technical assistance, studies, travel</t>
  </si>
  <si>
    <t>B18</t>
  </si>
  <si>
    <t>Component 3. Incentive scheme  to encourage MFIs, FOS, cooperatives and MSMEs to adopt adaptation and mitigation measures (515,071)</t>
  </si>
  <si>
    <t>Output 3.1: Established SAHEL AWARD</t>
  </si>
  <si>
    <t>3.1.1 a : Organize annual Sahel-Award event</t>
  </si>
  <si>
    <t>Consultants, travels, workshop, equipment</t>
  </si>
  <si>
    <t>Workshops</t>
  </si>
  <si>
    <t>C1</t>
  </si>
  <si>
    <t>3.1.2 a: Organize events to replenish the SAHEL-AWARD</t>
  </si>
  <si>
    <t>IFAD Grant</t>
  </si>
  <si>
    <t>C2</t>
  </si>
  <si>
    <t>3.1.2 b: Organize events to replenish the SAHEL-AWARD</t>
  </si>
  <si>
    <t>C3</t>
  </si>
  <si>
    <t>3.1.3: Develop application protocols and framework for the award</t>
  </si>
  <si>
    <t>C4</t>
  </si>
  <si>
    <t>PMC calculations</t>
  </si>
  <si>
    <t>425,000</t>
  </si>
  <si>
    <r>
      <t xml:space="preserve">Output 3.2: </t>
    </r>
    <r>
      <rPr>
        <sz val="10"/>
        <color theme="1"/>
        <rFont val="Times New Roman"/>
        <family val="1"/>
      </rPr>
      <t>Women and youth are incentivized to implement climate adaptation and mitigation measures and RET in agricultural value cha</t>
    </r>
  </si>
  <si>
    <t>3.2.1: Encourage Women to compete for the Sahel through awareness and capacity building</t>
  </si>
  <si>
    <t>C5</t>
  </si>
  <si>
    <t xml:space="preserve">Total proportion of GCF finance </t>
  </si>
  <si>
    <t xml:space="preserve"> Project Management Cost  (421,429) </t>
  </si>
  <si>
    <t>Project Management Unit (PMU) established in BAGRI</t>
  </si>
  <si>
    <t xml:space="preserve"> Project Management Unit (PMU) established in BAGRI</t>
  </si>
  <si>
    <t xml:space="preserve">Adaptation/ Climate  Specialist (coordinator) </t>
  </si>
  <si>
    <t>Person-month</t>
  </si>
  <si>
    <t>D1</t>
  </si>
  <si>
    <t>PMC total possible (at 5%)</t>
  </si>
  <si>
    <t>Environmental and gender Specialist, , M&amp;E specialist, finance officer ( assigned by BAGRI)</t>
  </si>
  <si>
    <t>D2</t>
  </si>
  <si>
    <t>PMC total (IFAD + GCF)</t>
  </si>
  <si>
    <t>Monitoring and Evaluation (M&amp;E) system established and operational</t>
  </si>
  <si>
    <t>M&amp;E Specialists and external consultants</t>
  </si>
  <si>
    <t>D3</t>
  </si>
  <si>
    <t>Note: PRECIS IFAD funded project  will manage the Grant component  and has provisionned enough budget for regular supervision  . The IFAD budget for supervision undeer  PRECIS is consequent and will complement the GCF budget for M&amp;E</t>
  </si>
  <si>
    <t>GCF total of PMC</t>
  </si>
  <si>
    <r>
      <t xml:space="preserve">TOTAL  BUDGET PROJECT
</t>
    </r>
    <r>
      <rPr>
        <sz val="11"/>
        <color theme="1"/>
        <rFont val="Cambria"/>
        <family val="1"/>
      </rPr>
      <t>(GCF + IFAD + BAGRI)</t>
    </r>
  </si>
  <si>
    <t>GCF proportion of PMC</t>
  </si>
  <si>
    <t>Total amount</t>
  </si>
  <si>
    <t>Total GCF Financing (Grant and loan)</t>
  </si>
  <si>
    <t>Total IFAD  Direct financing (Grant and Loan)</t>
  </si>
  <si>
    <t>Componants total</t>
  </si>
  <si>
    <t>Total BAGRI Direct financing</t>
  </si>
  <si>
    <t>Check on years</t>
  </si>
  <si>
    <t>PMC</t>
  </si>
  <si>
    <t>Total (Includes cofinancing)</t>
  </si>
  <si>
    <t>Mitigation benefit from solar and renewable energy use</t>
  </si>
  <si>
    <t>Assumption:</t>
  </si>
  <si>
    <t>The low values of the shadow price are estimated at US$40 per tCO2e emission in year 2020 and increase to US$54 per tCO2e emission in year 2034; the high values of the shadow price are estimated at US$80 per tCO2e emission in year 2020 and increase to US$109 per tCO2e emission in year 2034.</t>
  </si>
  <si>
    <t>Low value</t>
  </si>
  <si>
    <t>High value</t>
  </si>
  <si>
    <t>Project Activity Category</t>
  </si>
  <si>
    <t>Total mitigation benefit (tCO2eq)</t>
  </si>
  <si>
    <t>Grassland restoration</t>
  </si>
  <si>
    <t>Other LUC (associated GHG mitigation)</t>
  </si>
  <si>
    <t>Renewable Energy investment</t>
  </si>
  <si>
    <t>using the 2034 low value</t>
  </si>
  <si>
    <t>Using the 2034 high value</t>
  </si>
  <si>
    <t>Cost +20%</t>
  </si>
  <si>
    <t>Benefits – 20%</t>
  </si>
  <si>
    <t>Cost +20% and benefit -20%</t>
  </si>
  <si>
    <t>Benefits of Inclusive green financing for climate resilient and low emission smallholder agriculture</t>
  </si>
  <si>
    <t>Benefits of Inclusive green financing for climate resilient and low emission smallholder agriculture (IRR)</t>
  </si>
  <si>
    <t>Woodlot development(afforestation through the planting of native trees at high density</t>
  </si>
  <si>
    <t>Pastoral forest restoration(pastoral restoration through the planting of native trees at light density, 300 half moons per hectare</t>
  </si>
  <si>
    <t>Annual Crop land restoration for annual crops (zai, half moons</t>
  </si>
  <si>
    <r>
      <rPr>
        <b/>
        <sz val="11"/>
        <color theme="1"/>
        <rFont val="Arial"/>
        <family val="2"/>
      </rPr>
      <t>Component 1.</t>
    </r>
    <r>
      <rPr>
        <sz val="11"/>
        <color theme="1"/>
        <rFont val="Arial"/>
        <family val="2"/>
      </rPr>
      <t xml:space="preserve"> Innovative Financing Mechanism  to foster the best adaptation practices and  use of renewable energy along agricultural value chains.   (8,560,000)</t>
    </r>
  </si>
  <si>
    <r>
      <rPr>
        <b/>
        <sz val="11"/>
        <color theme="1"/>
        <rFont val="Arial"/>
        <family val="2"/>
      </rPr>
      <t xml:space="preserve">Component 2. </t>
    </r>
    <r>
      <rPr>
        <sz val="11"/>
        <color theme="1"/>
        <rFont val="Arial"/>
        <family val="2"/>
      </rPr>
      <t>Capacity-building and technical assistance for FOs, cooperatives, MSMEs and BAGRI (1,978,500)</t>
    </r>
  </si>
  <si>
    <r>
      <rPr>
        <b/>
        <sz val="11"/>
        <color theme="1"/>
        <rFont val="Arial"/>
        <family val="2"/>
      </rPr>
      <t>Component 3.</t>
    </r>
    <r>
      <rPr>
        <sz val="11"/>
        <color theme="1"/>
        <rFont val="Arial"/>
        <family val="2"/>
      </rPr>
      <t xml:space="preserve"> Incentive scheme  to encourage MFIs, FOS, cooperatives and MSMEs to adopt adaptation and mitigation measures (515,071)</t>
    </r>
  </si>
  <si>
    <t xml:space="preserve">Project duration </t>
  </si>
  <si>
    <t>Cost of Project (No Operating &amp; Maintenance  given nature of investment)</t>
  </si>
  <si>
    <t>Increased productivity due to access to credit (Window 1 and 2)</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</si>
</sst>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_(* \(#,##0.00\);_(* &quot;-&quot;??_);_(@_)"/>
    <numFmt numFmtId="164" formatCode="&quot;$&quot;#,##0.00_);[Red]\(&quot;$&quot;#,##0.00\)"/>
    <numFmt numFmtId="165" formatCode="_(&quot;$&quot;* #,##0.00_);_(&quot;$&quot;* \(#,##0.00\);_(&quot;$&quot;* &quot;-&quot;??_);_(@_)"/>
    <numFmt numFmtId="166" formatCode="_(* #,##0_);_(* \(#,##0\);_(* &quot;-&quot;??_);_(@_)"/>
    <numFmt numFmtId="167" formatCode="_-* #,##0_-;\-* #,##0_-;_-* &quot;-&quot;??_-;_-@_-"/>
    <numFmt numFmtId="168" formatCode="&quot;$&quot;#.00,,&quot;M&quot;"/>
    <numFmt numFmtId="169" formatCode="_(&quot;Z$&quot;* #,##0.00_);_(&quot;Z$&quot;* \(#,##0.00\);_(&quot;Z$&quot;* &quot;-&quot;??_);_(@_)"/>
    <numFmt numFmtId="170" formatCode="0.0000"/>
  </numFmts>
  <fonts count="23" x14ac:knownFonts="1">
    <font>
      <sz val="11"/>
      <color theme="1"/>
      <name val="Calibri"/>
      <family val="2"/>
      <scheme val="minor"/>
    </font>
    <font>
      <sz val="11"/>
      <color theme="1"/>
      <name val="Calibri"/>
      <family val="2"/>
      <scheme val="minor"/>
    </font>
    <font>
      <sz val="12"/>
      <color theme="1"/>
      <name val="Calibri"/>
      <family val="2"/>
      <scheme val="minor"/>
    </font>
    <font>
      <sz val="10"/>
      <color rgb="FF000000"/>
      <name val="Arial"/>
      <family val="2"/>
    </font>
    <font>
      <sz val="10"/>
      <color theme="1"/>
      <name val="Arial"/>
      <family val="2"/>
    </font>
    <font>
      <sz val="11"/>
      <color theme="1"/>
      <name val="Arial"/>
      <family val="2"/>
    </font>
    <font>
      <sz val="11"/>
      <color rgb="FF006100"/>
      <name val="Calibri"/>
      <family val="2"/>
      <scheme val="minor"/>
    </font>
    <font>
      <sz val="11"/>
      <color rgb="FFFF0000"/>
      <name val="Calibri"/>
      <family val="2"/>
      <scheme val="minor"/>
    </font>
    <font>
      <b/>
      <sz val="11"/>
      <color theme="1"/>
      <name val="Cambria"/>
      <family val="1"/>
    </font>
    <font>
      <sz val="11"/>
      <color theme="1"/>
      <name val="Cambria"/>
      <family val="1"/>
    </font>
    <font>
      <sz val="11"/>
      <name val="Cambria"/>
      <family val="1"/>
    </font>
    <font>
      <sz val="10"/>
      <color theme="1"/>
      <name val="Cambria"/>
      <family val="1"/>
    </font>
    <font>
      <sz val="11"/>
      <color theme="0"/>
      <name val="Cambria"/>
      <family val="1"/>
    </font>
    <font>
      <b/>
      <sz val="10"/>
      <color theme="0"/>
      <name val="Cambria"/>
      <family val="1"/>
    </font>
    <font>
      <b/>
      <sz val="10"/>
      <color theme="1"/>
      <name val="Cambria"/>
      <family val="1"/>
    </font>
    <font>
      <sz val="10"/>
      <color rgb="FF000000"/>
      <name val="Cambria"/>
      <family val="1"/>
    </font>
    <font>
      <b/>
      <sz val="10"/>
      <color rgb="FF000000"/>
      <name val="Cambria"/>
      <family val="1"/>
    </font>
    <font>
      <sz val="10"/>
      <color theme="1"/>
      <name val="Times New Roman"/>
      <family val="1"/>
    </font>
    <font>
      <sz val="8"/>
      <color theme="1"/>
      <name val="Cambria"/>
      <family val="1"/>
    </font>
    <font>
      <b/>
      <sz val="12"/>
      <color theme="1"/>
      <name val="Cambria"/>
      <family val="1"/>
    </font>
    <font>
      <b/>
      <sz val="9"/>
      <color rgb="FF000000"/>
      <name val="Tahoma"/>
      <family val="2"/>
    </font>
    <font>
      <sz val="9"/>
      <color rgb="FF000000"/>
      <name val="Tahoma"/>
      <family val="2"/>
    </font>
    <font>
      <b/>
      <sz val="11"/>
      <color theme="1"/>
      <name val="Arial"/>
      <family val="2"/>
    </font>
  </fonts>
  <fills count="11">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6" tint="0.39997558519241921"/>
        <bgColor indexed="64"/>
      </patternFill>
    </fill>
    <fill>
      <patternFill patternType="solid">
        <fgColor rgb="FFFF0000"/>
        <bgColor indexed="64"/>
      </patternFill>
    </fill>
    <fill>
      <patternFill patternType="solid">
        <fgColor rgb="FFC6EFCE"/>
      </patternFill>
    </fill>
    <fill>
      <patternFill patternType="solid">
        <fgColor rgb="FF0C6E54"/>
        <bgColor indexed="64"/>
      </patternFill>
    </fill>
    <fill>
      <patternFill patternType="solid">
        <fgColor theme="9" tint="0.79998168889431442"/>
        <bgColor indexed="64"/>
      </patternFill>
    </fill>
    <fill>
      <patternFill patternType="solid">
        <fgColor theme="0"/>
        <bgColor indexed="64"/>
      </patternFill>
    </fill>
    <fill>
      <patternFill patternType="solid">
        <fgColor rgb="FF92D050"/>
        <bgColor indexed="64"/>
      </patternFill>
    </fill>
  </fills>
  <borders count="27">
    <border>
      <left/>
      <right/>
      <top/>
      <bottom/>
      <diagonal/>
    </border>
    <border>
      <left/>
      <right style="thin">
        <color indexed="64"/>
      </right>
      <top/>
      <bottom/>
      <diagonal/>
    </border>
    <border>
      <left style="thin">
        <color auto="1"/>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auto="1"/>
      </bottom>
      <diagonal/>
    </border>
    <border>
      <left/>
      <right/>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s>
  <cellStyleXfs count="8">
    <xf numFmtId="0" fontId="0" fillId="0" borderId="0"/>
    <xf numFmtId="43" fontId="1" fillId="0" borderId="0" applyFont="0" applyFill="0" applyBorder="0" applyAlignment="0" applyProtection="0"/>
    <xf numFmtId="9" fontId="1" fillId="0" borderId="0" applyFont="0" applyFill="0" applyBorder="0" applyAlignment="0" applyProtection="0"/>
    <xf numFmtId="0" fontId="2" fillId="0" borderId="0"/>
    <xf numFmtId="9" fontId="5" fillId="0" borderId="0" applyFont="0" applyFill="0" applyBorder="0" applyAlignment="0" applyProtection="0"/>
    <xf numFmtId="165" fontId="1" fillId="0" borderId="0" applyFont="0" applyFill="0" applyBorder="0" applyAlignment="0" applyProtection="0"/>
    <xf numFmtId="169" fontId="1" fillId="0" borderId="0" applyFont="0" applyFill="0" applyBorder="0" applyAlignment="0" applyProtection="0"/>
    <xf numFmtId="0" fontId="6" fillId="6" borderId="0" applyNumberFormat="0" applyBorder="0" applyAlignment="0" applyProtection="0"/>
  </cellStyleXfs>
  <cellXfs count="178">
    <xf numFmtId="0" fontId="0" fillId="0" borderId="0" xfId="0"/>
    <xf numFmtId="3" fontId="0" fillId="0" borderId="0" xfId="0" applyNumberFormat="1"/>
    <xf numFmtId="168" fontId="4" fillId="0" borderId="2" xfId="0" applyNumberFormat="1" applyFont="1" applyBorder="1" applyAlignment="1">
      <alignment horizontal="justify" vertical="center" wrapText="1"/>
    </xf>
    <xf numFmtId="0" fontId="3" fillId="0" borderId="3" xfId="0" applyFont="1" applyBorder="1" applyAlignment="1">
      <alignment horizontal="justify" vertical="center" wrapText="1"/>
    </xf>
    <xf numFmtId="0" fontId="3" fillId="0" borderId="5" xfId="0" applyFont="1" applyBorder="1" applyAlignment="1">
      <alignment horizontal="justify" vertical="center" wrapText="1"/>
    </xf>
    <xf numFmtId="0" fontId="3" fillId="0" borderId="6" xfId="0" applyFont="1" applyBorder="1" applyAlignment="1">
      <alignment horizontal="justify" vertical="center" wrapText="1"/>
    </xf>
    <xf numFmtId="168" fontId="4" fillId="0" borderId="7" xfId="0" applyNumberFormat="1" applyFont="1" applyBorder="1" applyAlignment="1">
      <alignment horizontal="justify" vertical="center" wrapText="1"/>
    </xf>
    <xf numFmtId="0" fontId="0" fillId="0" borderId="0" xfId="0" applyAlignment="1">
      <alignment wrapText="1"/>
    </xf>
    <xf numFmtId="0" fontId="0" fillId="0" borderId="0" xfId="0" applyBorder="1"/>
    <xf numFmtId="9" fontId="4" fillId="0" borderId="2" xfId="2" applyFont="1" applyBorder="1" applyAlignment="1">
      <alignment horizontal="justify" vertical="center" wrapText="1"/>
    </xf>
    <xf numFmtId="9" fontId="4" fillId="0" borderId="7" xfId="2" applyFont="1" applyBorder="1" applyAlignment="1">
      <alignment horizontal="justify" vertical="center" wrapText="1"/>
    </xf>
    <xf numFmtId="0" fontId="0" fillId="0" borderId="0" xfId="0"/>
    <xf numFmtId="0" fontId="8" fillId="0" borderId="0" xfId="0" applyFont="1" applyFill="1"/>
    <xf numFmtId="0" fontId="9" fillId="0" borderId="0" xfId="0" applyFont="1" applyFill="1"/>
    <xf numFmtId="0" fontId="4" fillId="0" borderId="0" xfId="0" applyFont="1" applyFill="1"/>
    <xf numFmtId="0" fontId="5" fillId="0" borderId="0" xfId="0" applyFont="1" applyFill="1"/>
    <xf numFmtId="0" fontId="5" fillId="0" borderId="0" xfId="0" applyFont="1" applyFill="1" applyAlignment="1">
      <alignment horizontal="center"/>
    </xf>
    <xf numFmtId="3" fontId="5" fillId="0" borderId="0" xfId="0" applyNumberFormat="1" applyFont="1" applyFill="1" applyAlignment="1">
      <alignment horizontal="center"/>
    </xf>
    <xf numFmtId="0" fontId="10" fillId="0" borderId="0" xfId="0" applyFont="1" applyFill="1"/>
    <xf numFmtId="3" fontId="9" fillId="0" borderId="0" xfId="0" applyNumberFormat="1" applyFont="1" applyFill="1"/>
    <xf numFmtId="170" fontId="5" fillId="0" borderId="0" xfId="0" applyNumberFormat="1" applyFont="1" applyFill="1"/>
    <xf numFmtId="0" fontId="9" fillId="0" borderId="0" xfId="0" applyFont="1" applyBorder="1"/>
    <xf numFmtId="0" fontId="4" fillId="0" borderId="0" xfId="0" applyFont="1" applyBorder="1"/>
    <xf numFmtId="0" fontId="0" fillId="0" borderId="0" xfId="0" applyBorder="1" applyAlignment="1">
      <alignment horizontal="center"/>
    </xf>
    <xf numFmtId="0" fontId="9" fillId="7" borderId="0" xfId="0" applyFont="1" applyFill="1"/>
    <xf numFmtId="0" fontId="11" fillId="7" borderId="0" xfId="0" applyFont="1" applyFill="1"/>
    <xf numFmtId="0" fontId="13" fillId="7" borderId="0" xfId="0" applyFont="1" applyFill="1" applyBorder="1" applyAlignment="1">
      <alignment horizontal="center" vertical="center" wrapText="1"/>
    </xf>
    <xf numFmtId="0" fontId="9" fillId="0" borderId="0" xfId="0" applyFont="1"/>
    <xf numFmtId="0" fontId="9" fillId="0" borderId="13" xfId="0" applyFont="1" applyBorder="1"/>
    <xf numFmtId="0" fontId="9" fillId="0" borderId="14" xfId="0" applyFont="1" applyBorder="1"/>
    <xf numFmtId="0" fontId="13" fillId="7" borderId="2" xfId="0" applyFont="1" applyFill="1" applyBorder="1" applyAlignment="1">
      <alignment horizontal="center" vertical="center" wrapText="1"/>
    </xf>
    <xf numFmtId="0" fontId="9" fillId="0" borderId="15" xfId="0" applyFont="1" applyBorder="1"/>
    <xf numFmtId="0" fontId="9" fillId="0" borderId="12" xfId="0" applyFont="1" applyBorder="1"/>
    <xf numFmtId="0" fontId="9" fillId="0" borderId="19" xfId="0" applyFont="1" applyBorder="1"/>
    <xf numFmtId="0" fontId="11" fillId="8" borderId="2" xfId="0" applyFont="1" applyFill="1" applyBorder="1" applyAlignment="1">
      <alignment horizontal="center" vertical="center" wrapText="1"/>
    </xf>
    <xf numFmtId="3" fontId="15" fillId="0" borderId="2"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3" fontId="11" fillId="0" borderId="2" xfId="0" applyNumberFormat="1" applyFont="1" applyFill="1" applyBorder="1" applyAlignment="1">
      <alignment horizontal="center" vertical="center" wrapText="1"/>
    </xf>
    <xf numFmtId="0" fontId="14" fillId="8" borderId="2" xfId="0" applyFont="1" applyFill="1" applyBorder="1" applyAlignment="1">
      <alignment vertical="center" wrapText="1"/>
    </xf>
    <xf numFmtId="0" fontId="14" fillId="8" borderId="0" xfId="0" applyFont="1" applyFill="1" applyBorder="1" applyAlignment="1">
      <alignment vertical="center" wrapText="1"/>
    </xf>
    <xf numFmtId="166" fontId="0" fillId="0" borderId="15" xfId="1" applyNumberFormat="1" applyFont="1" applyBorder="1"/>
    <xf numFmtId="166" fontId="9" fillId="0" borderId="0" xfId="1" applyNumberFormat="1" applyFont="1" applyBorder="1"/>
    <xf numFmtId="166" fontId="6" fillId="6" borderId="12" xfId="7" applyNumberFormat="1" applyBorder="1"/>
    <xf numFmtId="0" fontId="9" fillId="8" borderId="2" xfId="0" applyFont="1" applyFill="1" applyBorder="1" applyAlignment="1">
      <alignment vertical="center"/>
    </xf>
    <xf numFmtId="0" fontId="9" fillId="8" borderId="0" xfId="0" applyFont="1" applyFill="1" applyBorder="1"/>
    <xf numFmtId="0" fontId="9" fillId="0" borderId="16" xfId="0" applyFont="1" applyBorder="1"/>
    <xf numFmtId="166" fontId="6" fillId="6" borderId="8" xfId="7" applyNumberFormat="1" applyBorder="1"/>
    <xf numFmtId="0" fontId="9" fillId="0" borderId="8" xfId="0" applyFont="1" applyBorder="1"/>
    <xf numFmtId="166" fontId="6" fillId="6" borderId="11" xfId="7" applyNumberFormat="1" applyBorder="1"/>
    <xf numFmtId="0" fontId="15" fillId="0" borderId="2" xfId="0" applyFont="1" applyFill="1" applyBorder="1" applyAlignment="1">
      <alignment horizontal="center" vertical="center" wrapText="1"/>
    </xf>
    <xf numFmtId="166" fontId="9" fillId="0" borderId="0" xfId="0" applyNumberFormat="1" applyFont="1"/>
    <xf numFmtId="0" fontId="11" fillId="8" borderId="2" xfId="0" applyFont="1" applyFill="1" applyBorder="1" applyAlignment="1">
      <alignment horizontal="left" vertical="center" wrapText="1"/>
    </xf>
    <xf numFmtId="0" fontId="11" fillId="8" borderId="2" xfId="0" applyFont="1" applyFill="1" applyBorder="1" applyAlignment="1">
      <alignment vertical="center" wrapText="1"/>
    </xf>
    <xf numFmtId="0" fontId="9" fillId="0" borderId="2" xfId="0" applyFont="1" applyBorder="1" applyAlignment="1">
      <alignment vertical="center"/>
    </xf>
    <xf numFmtId="3" fontId="9" fillId="0" borderId="15" xfId="0" applyNumberFormat="1" applyFont="1" applyBorder="1"/>
    <xf numFmtId="0" fontId="9" fillId="0" borderId="2" xfId="0" applyFont="1" applyFill="1" applyBorder="1" applyAlignment="1">
      <alignment vertical="center"/>
    </xf>
    <xf numFmtId="0" fontId="9" fillId="0" borderId="0" xfId="0" applyFont="1" applyFill="1" applyBorder="1"/>
    <xf numFmtId="0" fontId="7" fillId="0" borderId="0" xfId="0" applyFont="1"/>
    <xf numFmtId="0" fontId="9" fillId="0" borderId="0" xfId="0" applyFont="1" applyBorder="1" applyAlignment="1"/>
    <xf numFmtId="0" fontId="11" fillId="8" borderId="20" xfId="0" applyFont="1" applyFill="1" applyBorder="1" applyAlignment="1">
      <alignment vertical="center" wrapText="1"/>
    </xf>
    <xf numFmtId="9" fontId="9" fillId="0" borderId="14" xfId="2" applyFont="1" applyBorder="1"/>
    <xf numFmtId="0" fontId="9" fillId="0" borderId="0" xfId="0" applyFont="1" applyBorder="1" applyAlignment="1">
      <alignment horizontal="left"/>
    </xf>
    <xf numFmtId="166" fontId="9" fillId="0" borderId="12" xfId="1" applyNumberFormat="1" applyFont="1" applyBorder="1"/>
    <xf numFmtId="0" fontId="0" fillId="0" borderId="15" xfId="0" applyBorder="1"/>
    <xf numFmtId="3" fontId="9" fillId="0" borderId="12" xfId="0" applyNumberFormat="1" applyFont="1" applyBorder="1"/>
    <xf numFmtId="0" fontId="11" fillId="8" borderId="20" xfId="0" applyFont="1" applyFill="1" applyBorder="1" applyAlignment="1">
      <alignment horizontal="left" vertical="center" wrapText="1"/>
    </xf>
    <xf numFmtId="0" fontId="9" fillId="0" borderId="20" xfId="0" applyFont="1" applyBorder="1" applyAlignment="1">
      <alignment vertical="center"/>
    </xf>
    <xf numFmtId="0" fontId="18" fillId="0" borderId="2" xfId="0" applyFont="1" applyBorder="1" applyAlignment="1">
      <alignment vertical="top" wrapText="1"/>
    </xf>
    <xf numFmtId="3" fontId="6" fillId="6" borderId="12" xfId="7" applyNumberFormat="1" applyBorder="1"/>
    <xf numFmtId="0" fontId="8" fillId="8" borderId="2" xfId="0" applyFont="1" applyFill="1" applyBorder="1" applyAlignment="1">
      <alignment wrapText="1"/>
    </xf>
    <xf numFmtId="0" fontId="9" fillId="8" borderId="2" xfId="0" applyFont="1" applyFill="1" applyBorder="1"/>
    <xf numFmtId="0" fontId="9" fillId="9" borderId="2" xfId="0" applyFont="1" applyFill="1" applyBorder="1"/>
    <xf numFmtId="3" fontId="8" fillId="9" borderId="2" xfId="0" applyNumberFormat="1" applyFont="1" applyFill="1" applyBorder="1" applyAlignment="1">
      <alignment horizontal="center"/>
    </xf>
    <xf numFmtId="0" fontId="9" fillId="0" borderId="20" xfId="0" applyFont="1" applyBorder="1"/>
    <xf numFmtId="166" fontId="9" fillId="0" borderId="16" xfId="0" applyNumberFormat="1" applyFont="1" applyBorder="1"/>
    <xf numFmtId="0" fontId="6" fillId="6" borderId="11" xfId="7" applyBorder="1"/>
    <xf numFmtId="9" fontId="6" fillId="6" borderId="11" xfId="7" applyNumberFormat="1" applyBorder="1"/>
    <xf numFmtId="0" fontId="8" fillId="9" borderId="2" xfId="0" applyFont="1" applyFill="1" applyBorder="1" applyAlignment="1">
      <alignment horizontal="left" wrapText="1"/>
    </xf>
    <xf numFmtId="43" fontId="8" fillId="9" borderId="2" xfId="1" applyFont="1" applyFill="1" applyBorder="1" applyAlignment="1">
      <alignment horizontal="left"/>
    </xf>
    <xf numFmtId="0" fontId="9" fillId="9" borderId="0" xfId="0" applyFont="1" applyFill="1" applyBorder="1"/>
    <xf numFmtId="0" fontId="19" fillId="0" borderId="0" xfId="0" applyFont="1"/>
    <xf numFmtId="0" fontId="9" fillId="10" borderId="2" xfId="0" applyFont="1" applyFill="1" applyBorder="1" applyAlignment="1"/>
    <xf numFmtId="3" fontId="8" fillId="10" borderId="2" xfId="0" applyNumberFormat="1" applyFont="1" applyFill="1" applyBorder="1" applyAlignment="1">
      <alignment horizontal="center"/>
    </xf>
    <xf numFmtId="0" fontId="9" fillId="10" borderId="2" xfId="0" applyFont="1" applyFill="1" applyBorder="1"/>
    <xf numFmtId="0" fontId="9" fillId="10" borderId="0" xfId="0" applyFont="1" applyFill="1" applyBorder="1"/>
    <xf numFmtId="3" fontId="6" fillId="6" borderId="2" xfId="7" applyNumberFormat="1" applyBorder="1" applyAlignment="1">
      <alignment horizontal="center"/>
    </xf>
    <xf numFmtId="3" fontId="9" fillId="0" borderId="0" xfId="0" applyNumberFormat="1" applyFont="1"/>
    <xf numFmtId="0" fontId="6" fillId="6" borderId="0" xfId="7"/>
    <xf numFmtId="0" fontId="5" fillId="0" borderId="0" xfId="0" applyFont="1"/>
    <xf numFmtId="0" fontId="5" fillId="0" borderId="1" xfId="0" applyFont="1" applyBorder="1"/>
    <xf numFmtId="0" fontId="22" fillId="4" borderId="2" xfId="0" applyFont="1" applyFill="1" applyBorder="1" applyAlignment="1">
      <alignment horizontal="center"/>
    </xf>
    <xf numFmtId="0" fontId="5" fillId="0" borderId="2" xfId="0" applyFont="1" applyBorder="1"/>
    <xf numFmtId="0" fontId="5" fillId="0" borderId="2" xfId="0" applyFont="1" applyBorder="1" applyAlignment="1">
      <alignment wrapText="1"/>
    </xf>
    <xf numFmtId="3" fontId="5" fillId="0" borderId="2" xfId="0" applyNumberFormat="1" applyFont="1" applyBorder="1"/>
    <xf numFmtId="166" fontId="5" fillId="0" borderId="2" xfId="1" applyNumberFormat="1" applyFont="1" applyBorder="1"/>
    <xf numFmtId="43" fontId="5" fillId="0" borderId="2" xfId="1" applyNumberFormat="1" applyFont="1" applyBorder="1"/>
    <xf numFmtId="0" fontId="22" fillId="0" borderId="2" xfId="0" applyFont="1" applyBorder="1" applyAlignment="1">
      <alignment horizontal="right"/>
    </xf>
    <xf numFmtId="166" fontId="5" fillId="0" borderId="2" xfId="0" applyNumberFormat="1" applyFont="1" applyBorder="1"/>
    <xf numFmtId="0" fontId="5" fillId="0" borderId="2" xfId="0" applyFont="1" applyBorder="1" applyAlignment="1">
      <alignment horizontal="right"/>
    </xf>
    <xf numFmtId="0" fontId="22" fillId="0" borderId="2" xfId="0" applyFont="1" applyBorder="1" applyAlignment="1">
      <alignment horizontal="center"/>
    </xf>
    <xf numFmtId="0" fontId="22" fillId="2" borderId="2" xfId="0" applyFont="1" applyFill="1" applyBorder="1"/>
    <xf numFmtId="43" fontId="5" fillId="0" borderId="2" xfId="0" applyNumberFormat="1" applyFont="1" applyBorder="1"/>
    <xf numFmtId="43" fontId="5" fillId="0" borderId="0" xfId="0" applyNumberFormat="1" applyFont="1"/>
    <xf numFmtId="166" fontId="22" fillId="0" borderId="2" xfId="0" applyNumberFormat="1" applyFont="1" applyBorder="1"/>
    <xf numFmtId="0" fontId="22" fillId="0" borderId="2" xfId="0" applyFont="1" applyFill="1" applyBorder="1"/>
    <xf numFmtId="0" fontId="5" fillId="0" borderId="2" xfId="0" quotePrefix="1" applyFont="1" applyBorder="1"/>
    <xf numFmtId="43" fontId="5" fillId="0" borderId="2" xfId="1" applyFont="1" applyBorder="1"/>
    <xf numFmtId="0" fontId="22" fillId="0" borderId="2" xfId="0" applyFont="1" applyBorder="1"/>
    <xf numFmtId="0" fontId="22" fillId="0" borderId="0" xfId="0" applyFont="1"/>
    <xf numFmtId="0" fontId="22" fillId="3" borderId="2" xfId="0" applyFont="1" applyFill="1" applyBorder="1"/>
    <xf numFmtId="0" fontId="22" fillId="3" borderId="2" xfId="0" applyFont="1" applyFill="1" applyBorder="1" applyAlignment="1">
      <alignment horizontal="center"/>
    </xf>
    <xf numFmtId="164" fontId="22" fillId="0" borderId="2" xfId="0" applyNumberFormat="1" applyFont="1" applyBorder="1"/>
    <xf numFmtId="9" fontId="5" fillId="0" borderId="2" xfId="0" applyNumberFormat="1" applyFont="1" applyBorder="1" applyAlignment="1">
      <alignment horizontal="center"/>
    </xf>
    <xf numFmtId="0" fontId="22" fillId="5" borderId="2" xfId="0" applyFont="1" applyFill="1" applyBorder="1" applyAlignment="1">
      <alignment horizontal="center"/>
    </xf>
    <xf numFmtId="0" fontId="22" fillId="0" borderId="2" xfId="0" applyFont="1" applyFill="1" applyBorder="1" applyAlignment="1">
      <alignment horizontal="center"/>
    </xf>
    <xf numFmtId="0" fontId="22" fillId="3" borderId="2" xfId="0" applyFont="1" applyFill="1" applyBorder="1" applyAlignment="1">
      <alignment horizontal="left"/>
    </xf>
    <xf numFmtId="0" fontId="5" fillId="0" borderId="2" xfId="0" applyFont="1" applyFill="1" applyBorder="1"/>
    <xf numFmtId="0" fontId="5" fillId="0" borderId="2" xfId="0" applyFont="1" applyBorder="1" applyAlignment="1">
      <alignment horizontal="left"/>
    </xf>
    <xf numFmtId="166" fontId="5" fillId="0" borderId="2" xfId="1" applyNumberFormat="1" applyFont="1" applyBorder="1" applyAlignment="1">
      <alignment wrapText="1"/>
    </xf>
    <xf numFmtId="165" fontId="22" fillId="0" borderId="2" xfId="5" applyFont="1" applyBorder="1"/>
    <xf numFmtId="9" fontId="22" fillId="0" borderId="2" xfId="0" applyNumberFormat="1" applyFont="1" applyBorder="1" applyAlignment="1">
      <alignment horizontal="center"/>
    </xf>
    <xf numFmtId="167" fontId="5" fillId="0" borderId="2" xfId="1" applyNumberFormat="1" applyFont="1" applyBorder="1" applyAlignment="1">
      <alignment wrapText="1"/>
    </xf>
    <xf numFmtId="167" fontId="5" fillId="0" borderId="0" xfId="1" applyNumberFormat="1" applyFont="1" applyAlignment="1">
      <alignment wrapText="1"/>
    </xf>
    <xf numFmtId="0" fontId="5" fillId="0" borderId="4" xfId="0" quotePrefix="1" applyFont="1" applyBorder="1" applyAlignment="1">
      <alignment wrapText="1"/>
    </xf>
    <xf numFmtId="0" fontId="5" fillId="0" borderId="2" xfId="0" quotePrefix="1" applyFont="1" applyBorder="1" applyAlignment="1">
      <alignment wrapText="1"/>
    </xf>
    <xf numFmtId="0" fontId="22" fillId="2" borderId="2" xfId="0" applyFont="1" applyFill="1" applyBorder="1" applyAlignment="1">
      <alignment wrapText="1"/>
    </xf>
    <xf numFmtId="0" fontId="5" fillId="0" borderId="18" xfId="0" applyFont="1" applyBorder="1"/>
    <xf numFmtId="0" fontId="5" fillId="0" borderId="3" xfId="0" applyFont="1" applyBorder="1"/>
    <xf numFmtId="0" fontId="5" fillId="0" borderId="24" xfId="0" applyFont="1" applyBorder="1"/>
    <xf numFmtId="0" fontId="5" fillId="0" borderId="5" xfId="0" applyFont="1" applyBorder="1"/>
    <xf numFmtId="0" fontId="5" fillId="0" borderId="25" xfId="0" applyFont="1" applyBorder="1"/>
    <xf numFmtId="0" fontId="5" fillId="0" borderId="6" xfId="0" applyFont="1" applyBorder="1"/>
    <xf numFmtId="0" fontId="5" fillId="0" borderId="26" xfId="0" applyFont="1" applyBorder="1"/>
    <xf numFmtId="0" fontId="5" fillId="0" borderId="21" xfId="0" applyFont="1" applyBorder="1"/>
    <xf numFmtId="0" fontId="5" fillId="0" borderId="5" xfId="0" applyFont="1" applyBorder="1" applyAlignment="1">
      <alignment wrapText="1"/>
    </xf>
    <xf numFmtId="4" fontId="5" fillId="0" borderId="25" xfId="0" applyNumberFormat="1" applyFont="1" applyBorder="1"/>
    <xf numFmtId="3" fontId="5" fillId="0" borderId="25" xfId="0" applyNumberFormat="1" applyFont="1" applyBorder="1"/>
    <xf numFmtId="3" fontId="5" fillId="0" borderId="26" xfId="0" applyNumberFormat="1" applyFont="1" applyBorder="1"/>
    <xf numFmtId="0" fontId="5" fillId="2" borderId="3" xfId="0" applyFont="1" applyFill="1" applyBorder="1"/>
    <xf numFmtId="0" fontId="5" fillId="2" borderId="24" xfId="0" applyFont="1" applyFill="1" applyBorder="1"/>
    <xf numFmtId="0" fontId="5" fillId="2" borderId="5" xfId="0" applyFont="1" applyFill="1" applyBorder="1"/>
    <xf numFmtId="165" fontId="5" fillId="5" borderId="25" xfId="5" applyFont="1" applyFill="1" applyBorder="1"/>
    <xf numFmtId="0" fontId="5" fillId="2" borderId="25" xfId="0" applyFont="1" applyFill="1" applyBorder="1"/>
    <xf numFmtId="0" fontId="5" fillId="2" borderId="6" xfId="0" applyFont="1" applyFill="1" applyBorder="1"/>
    <xf numFmtId="165" fontId="5" fillId="2" borderId="26" xfId="5" applyFont="1" applyFill="1" applyBorder="1"/>
    <xf numFmtId="0" fontId="22" fillId="4" borderId="22" xfId="0" applyFont="1" applyFill="1" applyBorder="1" applyAlignment="1">
      <alignment horizontal="center"/>
    </xf>
    <xf numFmtId="0" fontId="22" fillId="4" borderId="23" xfId="0" applyFont="1" applyFill="1" applyBorder="1" applyAlignment="1">
      <alignment horizontal="center"/>
    </xf>
    <xf numFmtId="0" fontId="5" fillId="0" borderId="0" xfId="0" applyFont="1" applyAlignment="1">
      <alignment horizontal="left" vertical="top" wrapText="1"/>
    </xf>
    <xf numFmtId="0" fontId="14" fillId="8" borderId="20" xfId="0" applyFont="1" applyFill="1" applyBorder="1" applyAlignment="1">
      <alignment horizontal="center" vertical="center" wrapText="1"/>
    </xf>
    <xf numFmtId="0" fontId="14" fillId="8" borderId="21" xfId="0" applyFont="1" applyFill="1" applyBorder="1" applyAlignment="1">
      <alignment horizontal="center" vertical="center" wrapText="1"/>
    </xf>
    <xf numFmtId="0" fontId="14" fillId="8" borderId="18" xfId="0" applyFont="1" applyFill="1" applyBorder="1" applyAlignment="1">
      <alignment horizontal="center" vertical="center" wrapText="1"/>
    </xf>
    <xf numFmtId="0" fontId="11" fillId="8" borderId="20" xfId="0" applyFont="1" applyFill="1" applyBorder="1" applyAlignment="1">
      <alignment horizontal="center" vertical="center" wrapText="1"/>
    </xf>
    <xf numFmtId="0" fontId="11" fillId="8" borderId="18" xfId="0" applyFont="1" applyFill="1" applyBorder="1" applyAlignment="1">
      <alignment horizontal="center" vertical="center" wrapText="1"/>
    </xf>
    <xf numFmtId="0" fontId="11" fillId="8" borderId="2" xfId="0" applyFont="1" applyFill="1" applyBorder="1" applyAlignment="1">
      <alignment horizontal="left" vertical="center" wrapText="1"/>
    </xf>
    <xf numFmtId="0" fontId="11" fillId="8" borderId="21" xfId="0" applyFont="1" applyFill="1" applyBorder="1" applyAlignment="1">
      <alignment horizontal="center" vertical="center" wrapText="1"/>
    </xf>
    <xf numFmtId="0" fontId="12" fillId="7" borderId="2" xfId="0" applyFont="1" applyFill="1" applyBorder="1" applyAlignment="1">
      <alignment horizontal="center"/>
    </xf>
    <xf numFmtId="0" fontId="13" fillId="7" borderId="2" xfId="0" applyFont="1" applyFill="1" applyBorder="1" applyAlignment="1">
      <alignment horizontal="center" vertical="center" wrapText="1"/>
    </xf>
    <xf numFmtId="0" fontId="9" fillId="0" borderId="13" xfId="0" applyFont="1" applyBorder="1" applyAlignment="1">
      <alignment horizontal="center"/>
    </xf>
    <xf numFmtId="0" fontId="9" fillId="0" borderId="14" xfId="0" applyFont="1" applyBorder="1" applyAlignment="1">
      <alignment horizontal="center"/>
    </xf>
    <xf numFmtId="0" fontId="9" fillId="0" borderId="19" xfId="0" applyFont="1" applyBorder="1" applyAlignment="1">
      <alignment horizontal="center"/>
    </xf>
    <xf numFmtId="3" fontId="15" fillId="0" borderId="20" xfId="0" applyNumberFormat="1" applyFont="1" applyFill="1" applyBorder="1" applyAlignment="1">
      <alignment horizontal="center" vertical="center" wrapText="1"/>
    </xf>
    <xf numFmtId="3" fontId="15" fillId="0" borderId="18" xfId="0" applyNumberFormat="1" applyFont="1" applyFill="1" applyBorder="1" applyAlignment="1">
      <alignment horizontal="center" vertical="center" wrapText="1"/>
    </xf>
    <xf numFmtId="0" fontId="16" fillId="8" borderId="20" xfId="0" applyFont="1" applyFill="1" applyBorder="1" applyAlignment="1">
      <alignment horizontal="center" vertical="center" wrapText="1"/>
    </xf>
    <xf numFmtId="0" fontId="16" fillId="8" borderId="21" xfId="0" applyFont="1" applyFill="1" applyBorder="1" applyAlignment="1">
      <alignment horizontal="center" vertical="center" wrapText="1"/>
    </xf>
    <xf numFmtId="0" fontId="11" fillId="8" borderId="20" xfId="0" applyFont="1" applyFill="1" applyBorder="1" applyAlignment="1">
      <alignment vertical="center" wrapText="1"/>
    </xf>
    <xf numFmtId="0" fontId="11" fillId="8" borderId="21" xfId="0" applyFont="1" applyFill="1" applyBorder="1" applyAlignment="1">
      <alignment vertical="center" wrapText="1"/>
    </xf>
    <xf numFmtId="0" fontId="11" fillId="8" borderId="18" xfId="0" applyFont="1" applyFill="1" applyBorder="1" applyAlignment="1">
      <alignment vertical="center" wrapText="1"/>
    </xf>
    <xf numFmtId="0" fontId="9" fillId="0" borderId="20" xfId="0" applyFont="1" applyBorder="1" applyAlignment="1">
      <alignment horizontal="left" vertical="center"/>
    </xf>
    <xf numFmtId="0" fontId="9" fillId="0" borderId="18" xfId="0" applyFont="1" applyBorder="1" applyAlignment="1">
      <alignment horizontal="left" vertical="center"/>
    </xf>
    <xf numFmtId="0" fontId="9" fillId="0" borderId="17" xfId="0" applyFont="1" applyBorder="1" applyAlignment="1">
      <alignment horizontal="center"/>
    </xf>
    <xf numFmtId="0" fontId="9" fillId="0" borderId="9" xfId="0" applyFont="1" applyBorder="1" applyAlignment="1">
      <alignment horizontal="center"/>
    </xf>
    <xf numFmtId="0" fontId="9" fillId="0" borderId="10" xfId="0" applyFont="1" applyBorder="1" applyAlignment="1">
      <alignment horizontal="center"/>
    </xf>
    <xf numFmtId="0" fontId="11" fillId="8" borderId="20" xfId="0" applyFont="1" applyFill="1" applyBorder="1" applyAlignment="1">
      <alignment horizontal="left" vertical="center" wrapText="1"/>
    </xf>
    <xf numFmtId="0" fontId="11" fillId="8" borderId="21" xfId="0" applyFont="1" applyFill="1" applyBorder="1" applyAlignment="1">
      <alignment horizontal="left" vertical="center" wrapText="1"/>
    </xf>
    <xf numFmtId="0" fontId="11" fillId="8" borderId="18" xfId="0" applyFont="1" applyFill="1" applyBorder="1" applyAlignment="1">
      <alignment horizontal="left" vertical="center" wrapText="1"/>
    </xf>
    <xf numFmtId="3" fontId="11" fillId="0" borderId="20" xfId="0" applyNumberFormat="1" applyFont="1" applyFill="1" applyBorder="1" applyAlignment="1">
      <alignment horizontal="center" vertical="center" wrapText="1"/>
    </xf>
    <xf numFmtId="3" fontId="11" fillId="0" borderId="18" xfId="0" applyNumberFormat="1" applyFont="1" applyFill="1" applyBorder="1" applyAlignment="1">
      <alignment horizontal="center" vertical="center" wrapText="1"/>
    </xf>
    <xf numFmtId="0" fontId="14" fillId="8" borderId="2" xfId="0" applyFont="1" applyFill="1" applyBorder="1" applyAlignment="1">
      <alignment horizontal="center" vertical="center" wrapText="1"/>
    </xf>
  </cellXfs>
  <cellStyles count="8">
    <cellStyle name="Comma" xfId="1" builtinId="3"/>
    <cellStyle name="Currency" xfId="5" builtinId="4"/>
    <cellStyle name="Currency 2" xfId="6"/>
    <cellStyle name="Good" xfId="7" builtinId="26"/>
    <cellStyle name="Normal" xfId="0" builtinId="0"/>
    <cellStyle name="Normal 2" xfId="3"/>
    <cellStyle name="Percent" xfId="2" builtinId="5"/>
    <cellStyle name="Percent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babidoye/AppData/Local/Microsoft/Windows/INetCache/Content.Outlook/YIBMZ1CE/Copy%20of%20Copy%20of%20GCF_Niger_Annex%203%20Budget%20Details%20POST%20ITA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shboard"/>
      <sheetName val="Summary Budget PLAN SAP NIGER"/>
      <sheetName val="Detailed Budget Notes SAP Niger"/>
      <sheetName val="Title Lists"/>
    </sheetNames>
    <sheetDataSet>
      <sheetData sheetId="0"/>
      <sheetData sheetId="1"/>
      <sheetData sheetId="2"/>
      <sheetData sheetId="3"/>
      <sheetData sheetId="4">
        <row r="1">
          <cell r="B1" t="str">
            <v>Components</v>
          </cell>
        </row>
        <row r="2">
          <cell r="B2" t="str">
            <v>Component 1: Innovative Financing Mechanism  to foster the best adaptation practices and  use of renewable energy along agricultural value chains.</v>
          </cell>
        </row>
        <row r="3">
          <cell r="B3" t="str">
            <v xml:space="preserve">Component 2: Capacity-building and technical assistance for FOs, cooperatives, MSMEs and BAGRI </v>
          </cell>
        </row>
        <row r="4">
          <cell r="B4" t="str">
            <v>Component 3: Incentive scheme  to encourage MFIs, FOS, cooperatives and MSMEs to adopt adaptation and mitigation measures</v>
          </cell>
        </row>
        <row r="5">
          <cell r="B5" t="str">
            <v>Project Management Cost</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2"/>
  <sheetViews>
    <sheetView topLeftCell="A67" zoomScale="89" zoomScaleNormal="89" workbookViewId="0">
      <pane xSplit="1" topLeftCell="B1" activePane="topRight" state="frozen"/>
      <selection activeCell="C1" sqref="C1"/>
      <selection pane="topRight" activeCell="C12" sqref="C12"/>
    </sheetView>
  </sheetViews>
  <sheetFormatPr defaultColWidth="9.140625" defaultRowHeight="14.25" x14ac:dyDescent="0.2"/>
  <cols>
    <col min="1" max="1" width="73.7109375" style="88" customWidth="1"/>
    <col min="2" max="2" width="17.140625" style="88" customWidth="1"/>
    <col min="3" max="3" width="15.7109375" style="88" bestFit="1" customWidth="1"/>
    <col min="4" max="4" width="14.5703125" style="88" bestFit="1" customWidth="1"/>
    <col min="5" max="5" width="15.5703125" style="88" customWidth="1"/>
    <col min="6" max="6" width="18" style="88" customWidth="1"/>
    <col min="7" max="8" width="13.42578125" style="88" bestFit="1" customWidth="1"/>
    <col min="9" max="9" width="16.28515625" style="88" customWidth="1"/>
    <col min="10" max="10" width="14.28515625" style="88" customWidth="1"/>
    <col min="11" max="11" width="16.42578125" style="88" customWidth="1"/>
    <col min="12" max="12" width="14.5703125" style="88" customWidth="1"/>
    <col min="13" max="13" width="13.42578125" style="88" customWidth="1"/>
    <col min="14" max="14" width="17" style="88" customWidth="1"/>
    <col min="15" max="15" width="13.85546875" style="88" customWidth="1"/>
    <col min="16" max="16" width="13.28515625" style="88" customWidth="1"/>
    <col min="17" max="17" width="16.28515625" style="88" customWidth="1"/>
    <col min="18" max="23" width="9.28515625" style="88" bestFit="1" customWidth="1"/>
    <col min="24" max="16384" width="9.140625" style="88"/>
  </cols>
  <sheetData>
    <row r="1" spans="1:18" ht="39" customHeight="1" x14ac:dyDescent="0.4">
      <c r="B1" s="89"/>
      <c r="C1" s="145" t="s">
        <v>183</v>
      </c>
      <c r="D1" s="146"/>
      <c r="E1" s="146"/>
      <c r="F1" s="146"/>
      <c r="G1" s="146"/>
    </row>
    <row r="2" spans="1:18" ht="27" customHeight="1" x14ac:dyDescent="0.4">
      <c r="A2" s="90" t="s">
        <v>1</v>
      </c>
      <c r="B2" s="90" t="s">
        <v>0</v>
      </c>
      <c r="C2" s="90">
        <v>2020</v>
      </c>
      <c r="D2" s="90">
        <v>2021</v>
      </c>
      <c r="E2" s="90">
        <v>2022</v>
      </c>
      <c r="F2" s="90">
        <v>2023</v>
      </c>
      <c r="G2" s="90">
        <v>2024</v>
      </c>
      <c r="H2" s="90">
        <v>2025</v>
      </c>
      <c r="I2" s="90">
        <v>2026</v>
      </c>
      <c r="J2" s="91"/>
      <c r="K2" s="91"/>
      <c r="L2" s="91"/>
      <c r="M2" s="91"/>
      <c r="N2" s="91"/>
      <c r="O2" s="91"/>
      <c r="P2" s="91"/>
      <c r="Q2" s="91"/>
    </row>
    <row r="3" spans="1:18" ht="54.75" customHeight="1" x14ac:dyDescent="0.35">
      <c r="A3" s="92" t="s">
        <v>180</v>
      </c>
      <c r="B3" s="93">
        <f>SUM(C3:I3)</f>
        <v>8560000</v>
      </c>
      <c r="C3" s="93">
        <f>SUM('Summary Budget PLAN SAP NIGER'!J6:J10)</f>
        <v>1500000</v>
      </c>
      <c r="D3" s="93">
        <f>SUM('Summary Budget PLAN SAP NIGER'!K6:K10)</f>
        <v>1720000</v>
      </c>
      <c r="E3" s="93">
        <f>SUM('Summary Budget PLAN SAP NIGER'!L6:L10)</f>
        <v>1800000</v>
      </c>
      <c r="F3" s="93">
        <f>SUM('Summary Budget PLAN SAP NIGER'!M6:M10)</f>
        <v>1780000</v>
      </c>
      <c r="G3" s="93">
        <f>SUM('Summary Budget PLAN SAP NIGER'!N6:N10)</f>
        <v>1760000</v>
      </c>
      <c r="H3" s="91"/>
      <c r="I3" s="91"/>
      <c r="J3" s="91"/>
      <c r="K3" s="91"/>
      <c r="L3" s="91"/>
      <c r="M3" s="91"/>
      <c r="N3" s="91"/>
      <c r="O3" s="91"/>
      <c r="P3" s="91"/>
      <c r="Q3" s="91"/>
    </row>
    <row r="4" spans="1:18" ht="53.25" customHeight="1" x14ac:dyDescent="0.35">
      <c r="A4" s="92" t="s">
        <v>181</v>
      </c>
      <c r="B4" s="93">
        <f>SUM(C4:I4)</f>
        <v>1978500</v>
      </c>
      <c r="C4" s="94">
        <f>SUM('Summary Budget PLAN SAP NIGER'!J11:J28)</f>
        <v>433700</v>
      </c>
      <c r="D4" s="94">
        <f>SUM('Summary Budget PLAN SAP NIGER'!K11:K28)</f>
        <v>403750</v>
      </c>
      <c r="E4" s="94">
        <f>SUM('Summary Budget PLAN SAP NIGER'!L11:L28)</f>
        <v>451250</v>
      </c>
      <c r="F4" s="94">
        <f>SUM('Summary Budget PLAN SAP NIGER'!M11:M28)</f>
        <v>400050</v>
      </c>
      <c r="G4" s="94">
        <f>SUM('Summary Budget PLAN SAP NIGER'!N11:N28)</f>
        <v>289750</v>
      </c>
      <c r="H4" s="94"/>
      <c r="I4" s="94"/>
      <c r="J4" s="91"/>
      <c r="K4" s="91"/>
      <c r="L4" s="91"/>
      <c r="M4" s="91"/>
      <c r="N4" s="91"/>
      <c r="O4" s="91"/>
      <c r="P4" s="91"/>
      <c r="Q4" s="91"/>
    </row>
    <row r="5" spans="1:18" ht="60" customHeight="1" x14ac:dyDescent="0.35">
      <c r="A5" s="92" t="s">
        <v>182</v>
      </c>
      <c r="B5" s="93">
        <f>SUM(C5:I5)</f>
        <v>515071</v>
      </c>
      <c r="C5" s="94">
        <f>SUM('Summary Budget PLAN SAP NIGER'!J29:J33)</f>
        <v>112500</v>
      </c>
      <c r="D5" s="94">
        <f>SUM('Summary Budget PLAN SAP NIGER'!K29:K33)</f>
        <v>110000</v>
      </c>
      <c r="E5" s="94">
        <f>SUM('Summary Budget PLAN SAP NIGER'!L29:L33)</f>
        <v>90000</v>
      </c>
      <c r="F5" s="94">
        <f>SUM('Summary Budget PLAN SAP NIGER'!M29:M33)</f>
        <v>107500</v>
      </c>
      <c r="G5" s="94">
        <f>SUM('Summary Budget PLAN SAP NIGER'!N29:N33)</f>
        <v>95071</v>
      </c>
      <c r="H5" s="94"/>
      <c r="I5" s="94"/>
      <c r="J5" s="91"/>
      <c r="K5" s="91"/>
      <c r="L5" s="91"/>
      <c r="M5" s="91"/>
      <c r="N5" s="91"/>
      <c r="O5" s="91"/>
      <c r="P5" s="91"/>
      <c r="Q5" s="91"/>
    </row>
    <row r="6" spans="1:18" ht="25.5" customHeight="1" x14ac:dyDescent="0.35">
      <c r="A6" s="92" t="s">
        <v>13</v>
      </c>
      <c r="B6" s="93">
        <f>SUM(C6:I6)</f>
        <v>421429</v>
      </c>
      <c r="C6" s="94">
        <f>SUM('Summary Budget PLAN SAP NIGER'!J34:J37)</f>
        <v>90285.8</v>
      </c>
      <c r="D6" s="94">
        <f>SUM('Summary Budget PLAN SAP NIGER'!K34:K37)</f>
        <v>80285.8</v>
      </c>
      <c r="E6" s="94">
        <f>SUM('Summary Budget PLAN SAP NIGER'!L34:L37)</f>
        <v>90285.8</v>
      </c>
      <c r="F6" s="94">
        <f>SUM('Summary Budget PLAN SAP NIGER'!M34:M37)</f>
        <v>80285.8</v>
      </c>
      <c r="G6" s="94">
        <f>SUM('Summary Budget PLAN SAP NIGER'!N34:N37)</f>
        <v>80285.8</v>
      </c>
      <c r="H6" s="94"/>
      <c r="I6" s="94"/>
      <c r="J6" s="91"/>
      <c r="K6" s="91"/>
      <c r="L6" s="91"/>
      <c r="M6" s="91"/>
      <c r="N6" s="91"/>
      <c r="O6" s="91"/>
      <c r="P6" s="91"/>
      <c r="Q6" s="91"/>
    </row>
    <row r="7" spans="1:18" ht="13.5" x14ac:dyDescent="0.35">
      <c r="A7" s="92"/>
      <c r="B7" s="93"/>
      <c r="C7" s="95"/>
      <c r="D7" s="95"/>
      <c r="E7" s="95"/>
      <c r="F7" s="95"/>
      <c r="G7" s="95"/>
      <c r="H7" s="95"/>
      <c r="I7" s="95"/>
      <c r="J7" s="91"/>
      <c r="K7" s="91"/>
      <c r="L7" s="91"/>
      <c r="M7" s="91"/>
      <c r="N7" s="91"/>
      <c r="O7" s="91"/>
      <c r="P7" s="91"/>
      <c r="Q7" s="91"/>
    </row>
    <row r="8" spans="1:18" ht="15" x14ac:dyDescent="0.25">
      <c r="A8" s="96" t="s">
        <v>159</v>
      </c>
      <c r="B8" s="93">
        <f>SUM(B3:B7)</f>
        <v>11475000</v>
      </c>
      <c r="C8" s="97">
        <f>SUM(C3:C7)</f>
        <v>2136485.7999999998</v>
      </c>
      <c r="D8" s="97">
        <f t="shared" ref="D8:I8" si="0">SUM(D3:D7)</f>
        <v>2314035.7999999998</v>
      </c>
      <c r="E8" s="97">
        <f t="shared" si="0"/>
        <v>2431535.7999999998</v>
      </c>
      <c r="F8" s="97">
        <f t="shared" si="0"/>
        <v>2367835.7999999998</v>
      </c>
      <c r="G8" s="97">
        <f t="shared" si="0"/>
        <v>2225106.7999999998</v>
      </c>
      <c r="H8" s="97">
        <f t="shared" si="0"/>
        <v>0</v>
      </c>
      <c r="I8" s="97">
        <f t="shared" si="0"/>
        <v>0</v>
      </c>
      <c r="J8" s="91"/>
      <c r="K8" s="91"/>
      <c r="L8" s="91"/>
      <c r="M8" s="91"/>
      <c r="N8" s="91"/>
      <c r="O8" s="91"/>
      <c r="P8" s="91"/>
      <c r="Q8" s="91"/>
    </row>
    <row r="9" spans="1:18" ht="15" x14ac:dyDescent="0.25">
      <c r="A9" s="96"/>
      <c r="B9" s="93"/>
      <c r="C9" s="97"/>
      <c r="D9" s="97"/>
      <c r="E9" s="97"/>
      <c r="F9" s="97"/>
      <c r="G9" s="97"/>
      <c r="H9" s="97"/>
      <c r="I9" s="97"/>
      <c r="J9" s="91"/>
      <c r="K9" s="91"/>
      <c r="L9" s="91"/>
      <c r="M9" s="91"/>
      <c r="N9" s="91"/>
      <c r="O9" s="91"/>
      <c r="P9" s="91"/>
      <c r="Q9" s="91"/>
    </row>
    <row r="10" spans="1:18" x14ac:dyDescent="0.2">
      <c r="A10" s="98"/>
      <c r="B10" s="91"/>
      <c r="C10" s="91"/>
      <c r="D10" s="91"/>
      <c r="E10" s="91"/>
      <c r="F10" s="91"/>
      <c r="G10" s="91"/>
      <c r="H10" s="91"/>
      <c r="I10" s="91"/>
      <c r="J10" s="91"/>
      <c r="K10" s="91"/>
      <c r="L10" s="91"/>
      <c r="M10" s="91"/>
      <c r="N10" s="91"/>
      <c r="O10" s="91"/>
      <c r="P10" s="91"/>
      <c r="Q10" s="91"/>
    </row>
    <row r="11" spans="1:18" ht="13.9" x14ac:dyDescent="0.4">
      <c r="A11" s="91"/>
      <c r="B11" s="99">
        <v>2020</v>
      </c>
      <c r="C11" s="99">
        <v>2021</v>
      </c>
      <c r="D11" s="99">
        <v>2022</v>
      </c>
      <c r="E11" s="99">
        <v>2023</v>
      </c>
      <c r="F11" s="99">
        <v>2024</v>
      </c>
      <c r="G11" s="99">
        <v>2025</v>
      </c>
      <c r="H11" s="99">
        <v>2026</v>
      </c>
      <c r="I11" s="99">
        <v>2027</v>
      </c>
      <c r="J11" s="99">
        <v>2028</v>
      </c>
      <c r="K11" s="99">
        <v>2029</v>
      </c>
      <c r="L11" s="99">
        <v>2030</v>
      </c>
      <c r="M11" s="99">
        <v>2031</v>
      </c>
      <c r="N11" s="99">
        <v>2032</v>
      </c>
      <c r="O11" s="99">
        <v>2033</v>
      </c>
      <c r="P11" s="99">
        <v>2034</v>
      </c>
      <c r="Q11" s="99">
        <v>2035</v>
      </c>
    </row>
    <row r="12" spans="1:18" ht="30.75" customHeight="1" x14ac:dyDescent="0.4">
      <c r="A12" s="125" t="s">
        <v>184</v>
      </c>
      <c r="B12" s="97"/>
      <c r="C12" s="97"/>
      <c r="D12" s="91"/>
      <c r="E12" s="91"/>
      <c r="F12" s="91"/>
      <c r="G12" s="91"/>
      <c r="H12" s="91"/>
      <c r="I12" s="91"/>
      <c r="J12" s="91"/>
      <c r="K12" s="91"/>
      <c r="L12" s="91"/>
      <c r="M12" s="91"/>
      <c r="N12" s="91"/>
      <c r="O12" s="91"/>
      <c r="P12" s="91"/>
      <c r="Q12" s="91"/>
    </row>
    <row r="13" spans="1:18" ht="13.9" x14ac:dyDescent="0.4">
      <c r="A13" s="96" t="s">
        <v>3</v>
      </c>
      <c r="B13" s="101">
        <f>C8</f>
        <v>2136485.7999999998</v>
      </c>
      <c r="C13" s="101">
        <f>D8</f>
        <v>2314035.7999999998</v>
      </c>
      <c r="D13" s="101">
        <f t="shared" ref="D13:Q13" si="1">E8</f>
        <v>2431535.7999999998</v>
      </c>
      <c r="E13" s="101">
        <f t="shared" si="1"/>
        <v>2367835.7999999998</v>
      </c>
      <c r="F13" s="101">
        <f t="shared" si="1"/>
        <v>2225106.7999999998</v>
      </c>
      <c r="G13" s="101">
        <f t="shared" si="1"/>
        <v>0</v>
      </c>
      <c r="H13" s="101">
        <f t="shared" si="1"/>
        <v>0</v>
      </c>
      <c r="I13" s="101">
        <f t="shared" si="1"/>
        <v>0</v>
      </c>
      <c r="J13" s="101">
        <f t="shared" si="1"/>
        <v>0</v>
      </c>
      <c r="K13" s="101">
        <f t="shared" si="1"/>
        <v>0</v>
      </c>
      <c r="L13" s="101">
        <f t="shared" si="1"/>
        <v>0</v>
      </c>
      <c r="M13" s="101">
        <f t="shared" si="1"/>
        <v>0</v>
      </c>
      <c r="N13" s="101">
        <f t="shared" si="1"/>
        <v>0</v>
      </c>
      <c r="O13" s="101">
        <f t="shared" si="1"/>
        <v>0</v>
      </c>
      <c r="P13" s="101">
        <f t="shared" si="1"/>
        <v>0</v>
      </c>
      <c r="Q13" s="101">
        <f t="shared" si="1"/>
        <v>0</v>
      </c>
      <c r="R13" s="102"/>
    </row>
    <row r="14" spans="1:18" ht="13.5" x14ac:dyDescent="0.35">
      <c r="A14" s="98"/>
      <c r="B14" s="91"/>
      <c r="C14" s="91"/>
      <c r="D14" s="97"/>
      <c r="E14" s="97"/>
      <c r="F14" s="97"/>
      <c r="G14" s="97"/>
      <c r="H14" s="97"/>
      <c r="I14" s="97"/>
      <c r="J14" s="97"/>
      <c r="K14" s="97"/>
      <c r="L14" s="97"/>
      <c r="M14" s="97"/>
      <c r="N14" s="97"/>
      <c r="O14" s="97"/>
      <c r="P14" s="97"/>
      <c r="Q14" s="97"/>
    </row>
    <row r="15" spans="1:18" ht="13.9" x14ac:dyDescent="0.4">
      <c r="A15" s="96" t="s">
        <v>0</v>
      </c>
      <c r="B15" s="103">
        <f t="shared" ref="B15:Q15" si="2">SUM(B13:B13)</f>
        <v>2136485.7999999998</v>
      </c>
      <c r="C15" s="103">
        <f t="shared" si="2"/>
        <v>2314035.7999999998</v>
      </c>
      <c r="D15" s="103">
        <f t="shared" si="2"/>
        <v>2431535.7999999998</v>
      </c>
      <c r="E15" s="103">
        <f t="shared" si="2"/>
        <v>2367835.7999999998</v>
      </c>
      <c r="F15" s="103">
        <f t="shared" si="2"/>
        <v>2225106.7999999998</v>
      </c>
      <c r="G15" s="103">
        <f t="shared" si="2"/>
        <v>0</v>
      </c>
      <c r="H15" s="103">
        <f t="shared" si="2"/>
        <v>0</v>
      </c>
      <c r="I15" s="103">
        <f t="shared" si="2"/>
        <v>0</v>
      </c>
      <c r="J15" s="103">
        <f t="shared" si="2"/>
        <v>0</v>
      </c>
      <c r="K15" s="103">
        <f t="shared" si="2"/>
        <v>0</v>
      </c>
      <c r="L15" s="103">
        <f t="shared" si="2"/>
        <v>0</v>
      </c>
      <c r="M15" s="103">
        <f t="shared" si="2"/>
        <v>0</v>
      </c>
      <c r="N15" s="103">
        <f t="shared" si="2"/>
        <v>0</v>
      </c>
      <c r="O15" s="103">
        <f t="shared" si="2"/>
        <v>0</v>
      </c>
      <c r="P15" s="103">
        <f t="shared" si="2"/>
        <v>0</v>
      </c>
      <c r="Q15" s="103">
        <f t="shared" si="2"/>
        <v>0</v>
      </c>
    </row>
    <row r="16" spans="1:18" ht="13.5" x14ac:dyDescent="0.35">
      <c r="A16" s="91"/>
      <c r="B16" s="91"/>
      <c r="C16" s="91"/>
      <c r="D16" s="91"/>
      <c r="E16" s="91"/>
      <c r="F16" s="91"/>
      <c r="G16" s="91"/>
      <c r="H16" s="91"/>
      <c r="I16" s="91"/>
      <c r="J16" s="91"/>
      <c r="K16" s="91"/>
      <c r="L16" s="91"/>
      <c r="M16" s="91"/>
      <c r="N16" s="91"/>
      <c r="O16" s="91"/>
      <c r="P16" s="91"/>
      <c r="Q16" s="91"/>
    </row>
    <row r="17" spans="1:17" ht="13.9" x14ac:dyDescent="0.4">
      <c r="A17" s="100" t="s">
        <v>4</v>
      </c>
      <c r="B17" s="91"/>
      <c r="C17" s="91"/>
      <c r="D17" s="91"/>
      <c r="E17" s="91"/>
      <c r="F17" s="91"/>
      <c r="G17" s="91"/>
      <c r="H17" s="91"/>
      <c r="I17" s="91"/>
      <c r="J17" s="91"/>
      <c r="K17" s="91"/>
      <c r="L17" s="91"/>
      <c r="M17" s="91"/>
      <c r="N17" s="91"/>
      <c r="O17" s="91"/>
      <c r="P17" s="91"/>
      <c r="Q17" s="91"/>
    </row>
    <row r="18" spans="1:17" ht="13.9" x14ac:dyDescent="0.4">
      <c r="A18" s="104"/>
      <c r="B18" s="91"/>
      <c r="C18" s="91"/>
      <c r="D18" s="91"/>
      <c r="E18" s="91"/>
      <c r="F18" s="91"/>
      <c r="G18" s="91"/>
      <c r="H18" s="91"/>
      <c r="I18" s="91"/>
      <c r="J18" s="91"/>
      <c r="K18" s="91"/>
      <c r="L18" s="91"/>
      <c r="M18" s="91"/>
      <c r="N18" s="91"/>
      <c r="O18" s="91"/>
      <c r="P18" s="91"/>
      <c r="Q18" s="91"/>
    </row>
    <row r="19" spans="1:17" ht="13.5" x14ac:dyDescent="0.35">
      <c r="A19" s="105" t="s">
        <v>185</v>
      </c>
      <c r="B19" s="94"/>
      <c r="C19" s="94"/>
      <c r="D19" s="94"/>
      <c r="E19" s="94">
        <f>1.5*D3</f>
        <v>2580000</v>
      </c>
      <c r="F19" s="94">
        <f>E3*1.5</f>
        <v>2700000</v>
      </c>
      <c r="G19" s="94">
        <f>1.5*F3</f>
        <v>2670000</v>
      </c>
      <c r="H19" s="94">
        <f>G3*1.5</f>
        <v>2640000</v>
      </c>
      <c r="I19" s="94">
        <f>1.5*B3</f>
        <v>12840000</v>
      </c>
      <c r="J19" s="94">
        <f t="shared" ref="J19:P19" si="3">I19</f>
        <v>12840000</v>
      </c>
      <c r="K19" s="94">
        <f t="shared" si="3"/>
        <v>12840000</v>
      </c>
      <c r="L19" s="94">
        <f t="shared" si="3"/>
        <v>12840000</v>
      </c>
      <c r="M19" s="94">
        <f t="shared" si="3"/>
        <v>12840000</v>
      </c>
      <c r="N19" s="94">
        <f t="shared" si="3"/>
        <v>12840000</v>
      </c>
      <c r="O19" s="94">
        <f t="shared" si="3"/>
        <v>12840000</v>
      </c>
      <c r="P19" s="94">
        <f t="shared" si="3"/>
        <v>12840000</v>
      </c>
      <c r="Q19" s="94">
        <f>P19</f>
        <v>12840000</v>
      </c>
    </row>
    <row r="20" spans="1:17" ht="13.5" x14ac:dyDescent="0.35">
      <c r="A20" s="91" t="s">
        <v>160</v>
      </c>
      <c r="B20" s="91"/>
      <c r="C20" s="91"/>
      <c r="D20" s="94"/>
      <c r="E20" s="106"/>
      <c r="F20" s="94"/>
      <c r="G20" s="94"/>
      <c r="H20" s="94"/>
      <c r="I20" s="94"/>
      <c r="J20" s="94"/>
      <c r="K20" s="94"/>
      <c r="L20" s="94"/>
      <c r="M20" s="94"/>
      <c r="N20" s="94"/>
      <c r="O20" s="94"/>
      <c r="P20" s="94"/>
      <c r="Q20" s="94">
        <f>-'Carbon benefit'!C23</f>
        <v>88842906</v>
      </c>
    </row>
    <row r="21" spans="1:17" s="108" customFormat="1" ht="13.9" x14ac:dyDescent="0.4">
      <c r="A21" s="107" t="s">
        <v>0</v>
      </c>
      <c r="B21" s="103">
        <f t="shared" ref="B21:Q21" si="4">SUM(B19:B20)</f>
        <v>0</v>
      </c>
      <c r="C21" s="103">
        <f t="shared" si="4"/>
        <v>0</v>
      </c>
      <c r="D21" s="103">
        <f t="shared" si="4"/>
        <v>0</v>
      </c>
      <c r="E21" s="103">
        <f t="shared" si="4"/>
        <v>2580000</v>
      </c>
      <c r="F21" s="103">
        <f t="shared" si="4"/>
        <v>2700000</v>
      </c>
      <c r="G21" s="103">
        <f t="shared" si="4"/>
        <v>2670000</v>
      </c>
      <c r="H21" s="103">
        <f t="shared" si="4"/>
        <v>2640000</v>
      </c>
      <c r="I21" s="103">
        <f t="shared" si="4"/>
        <v>12840000</v>
      </c>
      <c r="J21" s="103">
        <f t="shared" si="4"/>
        <v>12840000</v>
      </c>
      <c r="K21" s="103">
        <f t="shared" si="4"/>
        <v>12840000</v>
      </c>
      <c r="L21" s="103">
        <f t="shared" si="4"/>
        <v>12840000</v>
      </c>
      <c r="M21" s="103">
        <f t="shared" si="4"/>
        <v>12840000</v>
      </c>
      <c r="N21" s="103">
        <f t="shared" si="4"/>
        <v>12840000</v>
      </c>
      <c r="O21" s="103">
        <f t="shared" si="4"/>
        <v>12840000</v>
      </c>
      <c r="P21" s="103">
        <f t="shared" si="4"/>
        <v>12840000</v>
      </c>
      <c r="Q21" s="103">
        <f t="shared" si="4"/>
        <v>101682906</v>
      </c>
    </row>
    <row r="22" spans="1:17" ht="13.5" x14ac:dyDescent="0.35">
      <c r="A22" s="91"/>
      <c r="B22" s="91"/>
      <c r="C22" s="91"/>
      <c r="D22" s="91"/>
      <c r="E22" s="91"/>
      <c r="F22" s="94"/>
      <c r="G22" s="94"/>
      <c r="H22" s="94"/>
      <c r="I22" s="94"/>
      <c r="J22" s="94"/>
      <c r="K22" s="94"/>
      <c r="L22" s="94"/>
      <c r="M22" s="94"/>
      <c r="N22" s="94"/>
      <c r="O22" s="94"/>
      <c r="P22" s="94"/>
      <c r="Q22" s="94"/>
    </row>
    <row r="23" spans="1:17" ht="13.9" x14ac:dyDescent="0.4">
      <c r="A23" s="109" t="s">
        <v>5</v>
      </c>
      <c r="B23" s="97"/>
      <c r="C23" s="97"/>
      <c r="D23" s="97"/>
      <c r="E23" s="97"/>
      <c r="F23" s="97"/>
      <c r="G23" s="97"/>
      <c r="H23" s="97"/>
      <c r="I23" s="97"/>
      <c r="J23" s="97"/>
      <c r="K23" s="97"/>
      <c r="L23" s="97"/>
      <c r="M23" s="97"/>
      <c r="N23" s="97"/>
      <c r="O23" s="97"/>
      <c r="P23" s="97"/>
      <c r="Q23" s="97"/>
    </row>
    <row r="24" spans="1:17" ht="27" x14ac:dyDescent="0.35">
      <c r="A24" s="124" t="s">
        <v>175</v>
      </c>
      <c r="B24" s="97">
        <f t="shared" ref="B24:Q24" si="5">B21-B15</f>
        <v>-2136485.7999999998</v>
      </c>
      <c r="C24" s="97">
        <f t="shared" si="5"/>
        <v>-2314035.7999999998</v>
      </c>
      <c r="D24" s="97">
        <f t="shared" si="5"/>
        <v>-2431535.7999999998</v>
      </c>
      <c r="E24" s="97">
        <f t="shared" si="5"/>
        <v>212164.20000000019</v>
      </c>
      <c r="F24" s="97">
        <f t="shared" si="5"/>
        <v>474893.20000000019</v>
      </c>
      <c r="G24" s="97">
        <f t="shared" si="5"/>
        <v>2670000</v>
      </c>
      <c r="H24" s="97">
        <f t="shared" si="5"/>
        <v>2640000</v>
      </c>
      <c r="I24" s="97">
        <f t="shared" si="5"/>
        <v>12840000</v>
      </c>
      <c r="J24" s="97">
        <f t="shared" si="5"/>
        <v>12840000</v>
      </c>
      <c r="K24" s="97">
        <f t="shared" si="5"/>
        <v>12840000</v>
      </c>
      <c r="L24" s="97">
        <f t="shared" si="5"/>
        <v>12840000</v>
      </c>
      <c r="M24" s="97">
        <f t="shared" si="5"/>
        <v>12840000</v>
      </c>
      <c r="N24" s="97">
        <f t="shared" si="5"/>
        <v>12840000</v>
      </c>
      <c r="O24" s="97">
        <f t="shared" si="5"/>
        <v>12840000</v>
      </c>
      <c r="P24" s="97">
        <f t="shared" si="5"/>
        <v>12840000</v>
      </c>
      <c r="Q24" s="97">
        <f t="shared" si="5"/>
        <v>101682906</v>
      </c>
    </row>
    <row r="25" spans="1:17" ht="13.5" x14ac:dyDescent="0.35">
      <c r="A25" s="91"/>
      <c r="B25" s="91"/>
      <c r="C25" s="91"/>
      <c r="D25" s="91"/>
      <c r="E25" s="91"/>
      <c r="F25" s="91"/>
      <c r="G25" s="91"/>
      <c r="H25" s="91"/>
      <c r="I25" s="91"/>
      <c r="J25" s="91"/>
      <c r="K25" s="91"/>
      <c r="L25" s="91"/>
      <c r="M25" s="91"/>
      <c r="N25" s="91"/>
      <c r="O25" s="91"/>
      <c r="P25" s="91"/>
      <c r="Q25" s="91"/>
    </row>
    <row r="26" spans="1:17" ht="15" x14ac:dyDescent="0.25">
      <c r="A26" s="109" t="s">
        <v>6</v>
      </c>
      <c r="B26" s="91"/>
      <c r="C26" s="91"/>
      <c r="D26" s="110" t="s">
        <v>8</v>
      </c>
      <c r="E26" s="91"/>
      <c r="F26" s="91"/>
      <c r="G26" s="91"/>
      <c r="H26" s="91"/>
      <c r="I26" s="91"/>
      <c r="J26" s="91"/>
      <c r="K26" s="91"/>
      <c r="L26" s="91"/>
      <c r="M26" s="91"/>
      <c r="N26" s="91"/>
      <c r="O26" s="91"/>
      <c r="P26" s="91"/>
      <c r="Q26" s="91"/>
    </row>
    <row r="27" spans="1:17" ht="29.25" x14ac:dyDescent="0.25">
      <c r="A27" s="124" t="s">
        <v>175</v>
      </c>
      <c r="B27" s="111">
        <f>NPV(0.1,B24:Q24)</f>
        <v>54900856.407372609</v>
      </c>
      <c r="C27" s="91"/>
      <c r="D27" s="112">
        <f>IRR(B24:Q24)</f>
        <v>0.4212571619717862</v>
      </c>
      <c r="E27" s="91"/>
      <c r="F27" s="111"/>
      <c r="G27" s="111"/>
      <c r="H27" s="91"/>
      <c r="I27" s="91"/>
      <c r="J27" s="91"/>
      <c r="K27" s="91"/>
      <c r="L27" s="91"/>
      <c r="M27" s="91"/>
      <c r="N27" s="91"/>
      <c r="O27" s="91"/>
      <c r="P27" s="91"/>
      <c r="Q27" s="91"/>
    </row>
    <row r="28" spans="1:17" x14ac:dyDescent="0.2">
      <c r="A28" s="91"/>
      <c r="B28" s="91"/>
      <c r="C28" s="91"/>
      <c r="D28" s="91"/>
      <c r="E28" s="91"/>
      <c r="F28" s="91"/>
      <c r="G28" s="91"/>
      <c r="H28" s="91"/>
      <c r="I28" s="91"/>
      <c r="J28" s="91"/>
      <c r="K28" s="91"/>
      <c r="L28" s="91"/>
      <c r="M28" s="91"/>
      <c r="N28" s="91"/>
      <c r="O28" s="91"/>
      <c r="P28" s="91"/>
      <c r="Q28" s="91"/>
    </row>
    <row r="29" spans="1:17" ht="15" x14ac:dyDescent="0.25">
      <c r="A29" s="91"/>
      <c r="B29" s="97"/>
      <c r="C29" s="91"/>
      <c r="D29" s="91"/>
      <c r="E29" s="91"/>
      <c r="F29" s="111"/>
      <c r="G29" s="91"/>
      <c r="H29" s="91"/>
      <c r="I29" s="91"/>
      <c r="J29" s="91"/>
      <c r="K29" s="91"/>
      <c r="L29" s="91"/>
      <c r="M29" s="91"/>
      <c r="N29" s="91"/>
      <c r="O29" s="91"/>
      <c r="P29" s="91"/>
      <c r="Q29" s="91"/>
    </row>
    <row r="30" spans="1:17" ht="15" x14ac:dyDescent="0.25">
      <c r="A30" s="113" t="s">
        <v>7</v>
      </c>
      <c r="B30" s="113"/>
      <c r="C30" s="113"/>
      <c r="D30" s="91"/>
      <c r="E30" s="91"/>
      <c r="F30" s="91"/>
      <c r="G30" s="91"/>
      <c r="H30" s="91"/>
      <c r="I30" s="91"/>
      <c r="J30" s="91"/>
      <c r="K30" s="91"/>
      <c r="L30" s="91"/>
      <c r="M30" s="91"/>
      <c r="N30" s="91"/>
      <c r="O30" s="91"/>
      <c r="P30" s="91"/>
      <c r="Q30" s="91"/>
    </row>
    <row r="31" spans="1:17" ht="15" x14ac:dyDescent="0.25">
      <c r="A31" s="114"/>
      <c r="B31" s="114"/>
      <c r="C31" s="114"/>
      <c r="D31" s="91"/>
      <c r="E31" s="91"/>
      <c r="F31" s="91"/>
      <c r="G31" s="91"/>
      <c r="H31" s="91"/>
      <c r="I31" s="91"/>
      <c r="J31" s="91"/>
      <c r="K31" s="91"/>
      <c r="L31" s="91"/>
      <c r="M31" s="91"/>
      <c r="N31" s="91"/>
      <c r="O31" s="91"/>
      <c r="P31" s="91"/>
      <c r="Q31" s="91"/>
    </row>
    <row r="32" spans="1:17" ht="15" x14ac:dyDescent="0.25">
      <c r="A32" s="115" t="s">
        <v>9</v>
      </c>
      <c r="B32" s="115"/>
      <c r="C32" s="115"/>
      <c r="D32" s="116">
        <v>1.2</v>
      </c>
      <c r="E32" s="91"/>
      <c r="F32" s="91"/>
      <c r="G32" s="91"/>
      <c r="H32" s="91"/>
      <c r="I32" s="91"/>
      <c r="J32" s="91"/>
      <c r="K32" s="91"/>
      <c r="L32" s="91"/>
      <c r="M32" s="91"/>
      <c r="N32" s="91"/>
      <c r="O32" s="91"/>
      <c r="P32" s="91"/>
      <c r="Q32" s="91"/>
    </row>
    <row r="33" spans="1:17" x14ac:dyDescent="0.2">
      <c r="A33" s="91"/>
      <c r="B33" s="91"/>
      <c r="C33" s="91"/>
      <c r="D33" s="91"/>
      <c r="E33" s="91"/>
      <c r="F33" s="91"/>
      <c r="G33" s="91"/>
      <c r="H33" s="91"/>
      <c r="I33" s="91"/>
      <c r="J33" s="91"/>
      <c r="K33" s="91"/>
      <c r="L33" s="91"/>
      <c r="M33" s="91"/>
      <c r="N33" s="91"/>
      <c r="O33" s="91"/>
      <c r="P33" s="91"/>
      <c r="Q33" s="91"/>
    </row>
    <row r="34" spans="1:17" x14ac:dyDescent="0.2">
      <c r="A34" s="91"/>
      <c r="B34" s="91">
        <v>2020</v>
      </c>
      <c r="C34" s="91">
        <v>2021</v>
      </c>
      <c r="D34" s="91">
        <v>2022</v>
      </c>
      <c r="E34" s="91">
        <v>2023</v>
      </c>
      <c r="F34" s="91">
        <v>2024</v>
      </c>
      <c r="G34" s="91">
        <v>2025</v>
      </c>
      <c r="H34" s="91">
        <v>2026</v>
      </c>
      <c r="I34" s="91">
        <v>2027</v>
      </c>
      <c r="J34" s="91">
        <v>2028</v>
      </c>
      <c r="K34" s="91">
        <v>2029</v>
      </c>
      <c r="L34" s="91">
        <v>2030</v>
      </c>
      <c r="M34" s="91">
        <v>2031</v>
      </c>
      <c r="N34" s="91">
        <v>2032</v>
      </c>
      <c r="O34" s="91">
        <v>2033</v>
      </c>
      <c r="P34" s="91">
        <v>2034</v>
      </c>
      <c r="Q34" s="91">
        <v>2035</v>
      </c>
    </row>
    <row r="35" spans="1:17" ht="15" x14ac:dyDescent="0.25">
      <c r="A35" s="100" t="s">
        <v>2</v>
      </c>
      <c r="B35" s="91"/>
      <c r="C35" s="91"/>
      <c r="D35" s="91"/>
      <c r="E35" s="91"/>
      <c r="F35" s="91"/>
      <c r="G35" s="91"/>
      <c r="H35" s="91"/>
      <c r="I35" s="91"/>
      <c r="J35" s="91"/>
      <c r="K35" s="91"/>
      <c r="L35" s="91"/>
      <c r="M35" s="91"/>
      <c r="N35" s="91"/>
      <c r="O35" s="91"/>
      <c r="P35" s="91"/>
      <c r="Q35" s="91"/>
    </row>
    <row r="36" spans="1:17" x14ac:dyDescent="0.2">
      <c r="A36" s="91" t="s">
        <v>0</v>
      </c>
      <c r="B36" s="95">
        <f t="shared" ref="B36:Q36" si="6">B15*$D$32</f>
        <v>2563782.9599999995</v>
      </c>
      <c r="C36" s="95">
        <f t="shared" si="6"/>
        <v>2776842.9599999995</v>
      </c>
      <c r="D36" s="95">
        <f t="shared" si="6"/>
        <v>2917842.9599999995</v>
      </c>
      <c r="E36" s="95">
        <f t="shared" si="6"/>
        <v>2841402.9599999995</v>
      </c>
      <c r="F36" s="95">
        <f t="shared" si="6"/>
        <v>2670128.1599999997</v>
      </c>
      <c r="G36" s="95">
        <f t="shared" si="6"/>
        <v>0</v>
      </c>
      <c r="H36" s="95">
        <f t="shared" si="6"/>
        <v>0</v>
      </c>
      <c r="I36" s="95">
        <f t="shared" si="6"/>
        <v>0</v>
      </c>
      <c r="J36" s="95">
        <f t="shared" si="6"/>
        <v>0</v>
      </c>
      <c r="K36" s="95">
        <f t="shared" si="6"/>
        <v>0</v>
      </c>
      <c r="L36" s="95">
        <f t="shared" si="6"/>
        <v>0</v>
      </c>
      <c r="M36" s="95">
        <f t="shared" si="6"/>
        <v>0</v>
      </c>
      <c r="N36" s="95">
        <f t="shared" si="6"/>
        <v>0</v>
      </c>
      <c r="O36" s="95">
        <f t="shared" si="6"/>
        <v>0</v>
      </c>
      <c r="P36" s="95">
        <f t="shared" si="6"/>
        <v>0</v>
      </c>
      <c r="Q36" s="95">
        <f t="shared" si="6"/>
        <v>0</v>
      </c>
    </row>
    <row r="37" spans="1:17" x14ac:dyDescent="0.2">
      <c r="A37" s="91"/>
      <c r="B37" s="91"/>
      <c r="C37" s="91"/>
      <c r="D37" s="91"/>
      <c r="E37" s="91"/>
      <c r="F37" s="91"/>
      <c r="G37" s="91"/>
      <c r="H37" s="91"/>
      <c r="I37" s="91"/>
      <c r="J37" s="91"/>
      <c r="K37" s="91"/>
      <c r="L37" s="91"/>
      <c r="M37" s="91"/>
      <c r="N37" s="91"/>
      <c r="O37" s="91"/>
      <c r="P37" s="91"/>
      <c r="Q37" s="91"/>
    </row>
    <row r="38" spans="1:17" ht="15" x14ac:dyDescent="0.25">
      <c r="A38" s="100" t="s">
        <v>4</v>
      </c>
      <c r="B38" s="117"/>
      <c r="C38" s="117"/>
      <c r="D38" s="117"/>
      <c r="E38" s="117"/>
      <c r="F38" s="117"/>
      <c r="G38" s="117"/>
      <c r="H38" s="117"/>
      <c r="I38" s="117"/>
      <c r="J38" s="91"/>
      <c r="K38" s="91"/>
      <c r="L38" s="91"/>
      <c r="M38" s="91"/>
      <c r="N38" s="91"/>
      <c r="O38" s="91"/>
      <c r="P38" s="91"/>
      <c r="Q38" s="91"/>
    </row>
    <row r="39" spans="1:17" ht="24" customHeight="1" x14ac:dyDescent="0.2">
      <c r="A39" s="105" t="s">
        <v>175</v>
      </c>
      <c r="B39" s="118">
        <f>B21</f>
        <v>0</v>
      </c>
      <c r="C39" s="118">
        <f t="shared" ref="C39:P39" si="7">C21</f>
        <v>0</v>
      </c>
      <c r="D39" s="118">
        <f t="shared" si="7"/>
        <v>0</v>
      </c>
      <c r="E39" s="118">
        <f t="shared" si="7"/>
        <v>2580000</v>
      </c>
      <c r="F39" s="118">
        <f t="shared" si="7"/>
        <v>2700000</v>
      </c>
      <c r="G39" s="118">
        <f t="shared" si="7"/>
        <v>2670000</v>
      </c>
      <c r="H39" s="118">
        <f t="shared" si="7"/>
        <v>2640000</v>
      </c>
      <c r="I39" s="118">
        <f t="shared" si="7"/>
        <v>12840000</v>
      </c>
      <c r="J39" s="118">
        <f t="shared" si="7"/>
        <v>12840000</v>
      </c>
      <c r="K39" s="118">
        <f t="shared" si="7"/>
        <v>12840000</v>
      </c>
      <c r="L39" s="118">
        <f t="shared" si="7"/>
        <v>12840000</v>
      </c>
      <c r="M39" s="118">
        <f t="shared" si="7"/>
        <v>12840000</v>
      </c>
      <c r="N39" s="118">
        <f t="shared" si="7"/>
        <v>12840000</v>
      </c>
      <c r="O39" s="118">
        <f t="shared" si="7"/>
        <v>12840000</v>
      </c>
      <c r="P39" s="118">
        <f t="shared" si="7"/>
        <v>12840000</v>
      </c>
      <c r="Q39" s="118">
        <f>Q21</f>
        <v>101682906</v>
      </c>
    </row>
    <row r="40" spans="1:17" x14ac:dyDescent="0.2">
      <c r="A40" s="91"/>
      <c r="B40" s="94"/>
      <c r="C40" s="94"/>
      <c r="D40" s="94"/>
      <c r="E40" s="94"/>
      <c r="F40" s="94"/>
      <c r="G40" s="94"/>
      <c r="H40" s="94"/>
      <c r="I40" s="94"/>
      <c r="J40" s="94"/>
      <c r="K40" s="94"/>
      <c r="L40" s="94"/>
      <c r="M40" s="94"/>
      <c r="N40" s="94"/>
      <c r="O40" s="94"/>
      <c r="P40" s="94"/>
      <c r="Q40" s="94"/>
    </row>
    <row r="41" spans="1:17" ht="15" x14ac:dyDescent="0.25">
      <c r="A41" s="109" t="s">
        <v>5</v>
      </c>
      <c r="B41" s="94"/>
      <c r="C41" s="94"/>
      <c r="D41" s="94"/>
      <c r="E41" s="94"/>
      <c r="F41" s="94"/>
      <c r="G41" s="94"/>
      <c r="H41" s="94"/>
      <c r="I41" s="94"/>
      <c r="J41" s="94"/>
      <c r="K41" s="94"/>
      <c r="L41" s="94"/>
      <c r="M41" s="94"/>
      <c r="N41" s="94"/>
      <c r="O41" s="94"/>
      <c r="P41" s="94"/>
      <c r="Q41" s="94"/>
    </row>
    <row r="42" spans="1:17" x14ac:dyDescent="0.2">
      <c r="A42" s="105" t="s">
        <v>175</v>
      </c>
      <c r="B42" s="94">
        <f t="shared" ref="B42:P42" si="8">B39-B36</f>
        <v>-2563782.9599999995</v>
      </c>
      <c r="C42" s="94">
        <f t="shared" si="8"/>
        <v>-2776842.9599999995</v>
      </c>
      <c r="D42" s="94">
        <f t="shared" si="8"/>
        <v>-2917842.9599999995</v>
      </c>
      <c r="E42" s="94">
        <f t="shared" si="8"/>
        <v>-261402.9599999995</v>
      </c>
      <c r="F42" s="94">
        <f t="shared" si="8"/>
        <v>29871.840000000317</v>
      </c>
      <c r="G42" s="94">
        <f t="shared" si="8"/>
        <v>2670000</v>
      </c>
      <c r="H42" s="94">
        <f t="shared" si="8"/>
        <v>2640000</v>
      </c>
      <c r="I42" s="94">
        <f t="shared" si="8"/>
        <v>12840000</v>
      </c>
      <c r="J42" s="94">
        <f t="shared" si="8"/>
        <v>12840000</v>
      </c>
      <c r="K42" s="94">
        <f t="shared" si="8"/>
        <v>12840000</v>
      </c>
      <c r="L42" s="94">
        <f t="shared" si="8"/>
        <v>12840000</v>
      </c>
      <c r="M42" s="94">
        <f t="shared" si="8"/>
        <v>12840000</v>
      </c>
      <c r="N42" s="94">
        <f t="shared" si="8"/>
        <v>12840000</v>
      </c>
      <c r="O42" s="94">
        <f t="shared" si="8"/>
        <v>12840000</v>
      </c>
      <c r="P42" s="94">
        <f t="shared" si="8"/>
        <v>12840000</v>
      </c>
      <c r="Q42" s="94">
        <f>Q39-Q36</f>
        <v>101682906</v>
      </c>
    </row>
    <row r="43" spans="1:17" x14ac:dyDescent="0.2">
      <c r="A43" s="91"/>
      <c r="B43" s="94"/>
      <c r="C43" s="94"/>
      <c r="D43" s="94"/>
      <c r="E43" s="94"/>
      <c r="F43" s="94"/>
      <c r="G43" s="94"/>
      <c r="H43" s="94"/>
      <c r="I43" s="94"/>
      <c r="J43" s="94"/>
      <c r="K43" s="94"/>
      <c r="L43" s="94"/>
      <c r="M43" s="94"/>
      <c r="N43" s="94"/>
      <c r="O43" s="94"/>
      <c r="P43" s="94"/>
      <c r="Q43" s="94"/>
    </row>
    <row r="44" spans="1:17" ht="15" x14ac:dyDescent="0.25">
      <c r="A44" s="109" t="s">
        <v>6</v>
      </c>
      <c r="B44" s="94"/>
      <c r="C44" s="94"/>
      <c r="D44" s="110" t="s">
        <v>8</v>
      </c>
      <c r="E44" s="94"/>
      <c r="F44" s="94"/>
      <c r="G44" s="94"/>
      <c r="H44" s="94"/>
      <c r="I44" s="94"/>
      <c r="J44" s="94"/>
      <c r="K44" s="94"/>
      <c r="L44" s="94"/>
      <c r="M44" s="94"/>
      <c r="N44" s="94"/>
      <c r="O44" s="94"/>
      <c r="P44" s="94"/>
      <c r="Q44" s="94"/>
    </row>
    <row r="45" spans="1:17" ht="15" x14ac:dyDescent="0.25">
      <c r="A45" s="105" t="s">
        <v>175</v>
      </c>
      <c r="B45" s="119">
        <f>NPV(0.1,B42:Q42)</f>
        <v>53164773.426505677</v>
      </c>
      <c r="C45" s="94"/>
      <c r="D45" s="120">
        <f>IRR(B42:Q42)</f>
        <v>0.38126451325695232</v>
      </c>
      <c r="E45" s="94"/>
      <c r="F45" s="94"/>
      <c r="G45" s="94"/>
      <c r="H45" s="94"/>
      <c r="I45" s="94"/>
      <c r="J45" s="94"/>
      <c r="K45" s="94"/>
      <c r="L45" s="94"/>
      <c r="M45" s="94"/>
      <c r="N45" s="94"/>
      <c r="O45" s="94"/>
      <c r="P45" s="94"/>
      <c r="Q45" s="94"/>
    </row>
    <row r="46" spans="1:17" x14ac:dyDescent="0.2">
      <c r="A46" s="91"/>
      <c r="B46" s="91"/>
      <c r="C46" s="91"/>
      <c r="D46" s="91"/>
      <c r="E46" s="91"/>
      <c r="F46" s="91"/>
      <c r="G46" s="91"/>
      <c r="H46" s="91"/>
      <c r="I46" s="91"/>
      <c r="J46" s="91"/>
      <c r="K46" s="91"/>
      <c r="L46" s="91"/>
      <c r="M46" s="91"/>
      <c r="N46" s="91"/>
      <c r="O46" s="91"/>
      <c r="P46" s="91"/>
      <c r="Q46" s="91"/>
    </row>
    <row r="47" spans="1:17" ht="15" x14ac:dyDescent="0.25">
      <c r="A47" s="115" t="s">
        <v>10</v>
      </c>
      <c r="B47" s="115"/>
      <c r="C47" s="115"/>
      <c r="D47" s="91">
        <v>0.8</v>
      </c>
      <c r="E47" s="91"/>
      <c r="F47" s="91"/>
      <c r="G47" s="91"/>
      <c r="H47" s="91"/>
      <c r="I47" s="91"/>
      <c r="J47" s="91"/>
      <c r="K47" s="91"/>
      <c r="L47" s="91"/>
      <c r="M47" s="91"/>
      <c r="N47" s="91"/>
      <c r="O47" s="91"/>
      <c r="P47" s="91"/>
      <c r="Q47" s="91"/>
    </row>
    <row r="48" spans="1:17" x14ac:dyDescent="0.2">
      <c r="A48" s="91"/>
      <c r="B48" s="91"/>
      <c r="C48" s="91"/>
      <c r="D48" s="91"/>
      <c r="E48" s="91"/>
      <c r="F48" s="91"/>
      <c r="G48" s="91"/>
      <c r="H48" s="91"/>
      <c r="I48" s="91"/>
      <c r="J48" s="91"/>
      <c r="K48" s="91"/>
      <c r="L48" s="91"/>
      <c r="M48" s="91"/>
      <c r="N48" s="91"/>
      <c r="O48" s="91"/>
      <c r="P48" s="91"/>
      <c r="Q48" s="91"/>
    </row>
    <row r="49" spans="1:23" x14ac:dyDescent="0.2">
      <c r="A49" s="91"/>
      <c r="B49" s="91">
        <v>2020</v>
      </c>
      <c r="C49" s="91">
        <v>2021</v>
      </c>
      <c r="D49" s="91">
        <v>2022</v>
      </c>
      <c r="E49" s="91">
        <v>2023</v>
      </c>
      <c r="F49" s="91">
        <v>2024</v>
      </c>
      <c r="G49" s="91">
        <v>2025</v>
      </c>
      <c r="H49" s="91">
        <v>2026</v>
      </c>
      <c r="I49" s="91">
        <v>2027</v>
      </c>
      <c r="J49" s="91">
        <v>2028</v>
      </c>
      <c r="K49" s="91">
        <v>2029</v>
      </c>
      <c r="L49" s="91">
        <v>2030</v>
      </c>
      <c r="M49" s="91">
        <v>2031</v>
      </c>
      <c r="N49" s="91">
        <v>2032</v>
      </c>
      <c r="O49" s="91">
        <v>2033</v>
      </c>
      <c r="P49" s="91">
        <v>2034</v>
      </c>
      <c r="Q49" s="91">
        <v>2035</v>
      </c>
    </row>
    <row r="50" spans="1:23" ht="15" x14ac:dyDescent="0.25">
      <c r="A50" s="100" t="s">
        <v>2</v>
      </c>
      <c r="B50" s="91"/>
      <c r="C50" s="91"/>
      <c r="D50" s="91"/>
      <c r="E50" s="91"/>
      <c r="F50" s="91"/>
      <c r="G50" s="91"/>
      <c r="H50" s="91"/>
      <c r="I50" s="91"/>
      <c r="J50" s="91"/>
      <c r="K50" s="91"/>
      <c r="L50" s="91"/>
      <c r="M50" s="91"/>
      <c r="N50" s="91"/>
      <c r="O50" s="91"/>
      <c r="P50" s="91"/>
      <c r="Q50" s="91"/>
    </row>
    <row r="51" spans="1:23" x14ac:dyDescent="0.2">
      <c r="A51" s="91" t="s">
        <v>0</v>
      </c>
      <c r="B51" s="94">
        <f t="shared" ref="B51:Q51" si="9">B15</f>
        <v>2136485.7999999998</v>
      </c>
      <c r="C51" s="94">
        <f t="shared" si="9"/>
        <v>2314035.7999999998</v>
      </c>
      <c r="D51" s="94">
        <f t="shared" si="9"/>
        <v>2431535.7999999998</v>
      </c>
      <c r="E51" s="94">
        <f t="shared" si="9"/>
        <v>2367835.7999999998</v>
      </c>
      <c r="F51" s="94">
        <f t="shared" si="9"/>
        <v>2225106.7999999998</v>
      </c>
      <c r="G51" s="94">
        <f t="shared" si="9"/>
        <v>0</v>
      </c>
      <c r="H51" s="94">
        <f t="shared" si="9"/>
        <v>0</v>
      </c>
      <c r="I51" s="94">
        <f t="shared" si="9"/>
        <v>0</v>
      </c>
      <c r="J51" s="94">
        <f t="shared" si="9"/>
        <v>0</v>
      </c>
      <c r="K51" s="94">
        <f t="shared" si="9"/>
        <v>0</v>
      </c>
      <c r="L51" s="94">
        <f t="shared" si="9"/>
        <v>0</v>
      </c>
      <c r="M51" s="94">
        <f t="shared" si="9"/>
        <v>0</v>
      </c>
      <c r="N51" s="94">
        <f t="shared" si="9"/>
        <v>0</v>
      </c>
      <c r="O51" s="94">
        <f t="shared" si="9"/>
        <v>0</v>
      </c>
      <c r="P51" s="94">
        <f t="shared" si="9"/>
        <v>0</v>
      </c>
      <c r="Q51" s="94">
        <f t="shared" si="9"/>
        <v>0</v>
      </c>
    </row>
    <row r="52" spans="1:23" x14ac:dyDescent="0.2">
      <c r="A52" s="91"/>
      <c r="B52" s="91"/>
      <c r="C52" s="91"/>
      <c r="D52" s="91"/>
      <c r="E52" s="91"/>
      <c r="F52" s="91"/>
      <c r="G52" s="91"/>
      <c r="H52" s="91"/>
      <c r="I52" s="91"/>
      <c r="J52" s="91"/>
      <c r="K52" s="91"/>
      <c r="L52" s="91"/>
      <c r="M52" s="91"/>
      <c r="N52" s="91"/>
      <c r="O52" s="91"/>
      <c r="P52" s="91"/>
      <c r="Q52" s="91"/>
    </row>
    <row r="53" spans="1:23" ht="15" x14ac:dyDescent="0.25">
      <c r="A53" s="100" t="s">
        <v>4</v>
      </c>
      <c r="B53" s="117"/>
      <c r="C53" s="117"/>
      <c r="D53" s="117"/>
      <c r="E53" s="117"/>
      <c r="F53" s="117"/>
      <c r="G53" s="117"/>
      <c r="H53" s="117"/>
      <c r="I53" s="117"/>
      <c r="J53" s="91"/>
      <c r="K53" s="91"/>
      <c r="L53" s="91"/>
      <c r="M53" s="91"/>
      <c r="N53" s="91"/>
      <c r="O53" s="91"/>
      <c r="P53" s="91"/>
      <c r="Q53" s="91"/>
    </row>
    <row r="54" spans="1:23" ht="24" customHeight="1" x14ac:dyDescent="0.2">
      <c r="A54" s="105" t="s">
        <v>175</v>
      </c>
      <c r="B54" s="121">
        <f t="shared" ref="B54:W54" si="10">B39*$D$47</f>
        <v>0</v>
      </c>
      <c r="C54" s="121">
        <f t="shared" si="10"/>
        <v>0</v>
      </c>
      <c r="D54" s="121">
        <f t="shared" si="10"/>
        <v>0</v>
      </c>
      <c r="E54" s="121">
        <f t="shared" si="10"/>
        <v>2064000</v>
      </c>
      <c r="F54" s="121">
        <f t="shared" si="10"/>
        <v>2160000</v>
      </c>
      <c r="G54" s="121">
        <f t="shared" si="10"/>
        <v>2136000</v>
      </c>
      <c r="H54" s="121">
        <f t="shared" si="10"/>
        <v>2112000</v>
      </c>
      <c r="I54" s="121">
        <f t="shared" si="10"/>
        <v>10272000</v>
      </c>
      <c r="J54" s="121">
        <f t="shared" si="10"/>
        <v>10272000</v>
      </c>
      <c r="K54" s="121">
        <f t="shared" si="10"/>
        <v>10272000</v>
      </c>
      <c r="L54" s="121">
        <f t="shared" si="10"/>
        <v>10272000</v>
      </c>
      <c r="M54" s="121">
        <f t="shared" si="10"/>
        <v>10272000</v>
      </c>
      <c r="N54" s="121">
        <f t="shared" si="10"/>
        <v>10272000</v>
      </c>
      <c r="O54" s="121">
        <f t="shared" si="10"/>
        <v>10272000</v>
      </c>
      <c r="P54" s="121">
        <f t="shared" si="10"/>
        <v>10272000</v>
      </c>
      <c r="Q54" s="121">
        <f>Q39*$D$47</f>
        <v>81346324.800000012</v>
      </c>
      <c r="R54" s="122">
        <f t="shared" si="10"/>
        <v>0</v>
      </c>
      <c r="S54" s="122">
        <f t="shared" si="10"/>
        <v>0</v>
      </c>
      <c r="T54" s="122">
        <f t="shared" si="10"/>
        <v>0</v>
      </c>
      <c r="U54" s="122">
        <f t="shared" si="10"/>
        <v>0</v>
      </c>
      <c r="V54" s="122">
        <f t="shared" si="10"/>
        <v>0</v>
      </c>
      <c r="W54" s="122">
        <f t="shared" si="10"/>
        <v>0</v>
      </c>
    </row>
    <row r="55" spans="1:23" x14ac:dyDescent="0.2">
      <c r="A55" s="91"/>
      <c r="B55" s="94"/>
      <c r="C55" s="94"/>
      <c r="D55" s="94"/>
      <c r="E55" s="94"/>
      <c r="F55" s="94"/>
      <c r="G55" s="94"/>
      <c r="H55" s="94"/>
      <c r="I55" s="94"/>
      <c r="J55" s="94"/>
      <c r="K55" s="94"/>
      <c r="L55" s="94"/>
      <c r="M55" s="94"/>
      <c r="N55" s="94"/>
      <c r="O55" s="94"/>
      <c r="P55" s="94"/>
      <c r="Q55" s="94"/>
    </row>
    <row r="56" spans="1:23" ht="15" x14ac:dyDescent="0.25">
      <c r="A56" s="109" t="s">
        <v>5</v>
      </c>
      <c r="B56" s="94"/>
      <c r="C56" s="94"/>
      <c r="D56" s="94"/>
      <c r="E56" s="94"/>
      <c r="F56" s="94"/>
      <c r="G56" s="94"/>
      <c r="H56" s="94"/>
      <c r="I56" s="94"/>
      <c r="J56" s="94"/>
      <c r="K56" s="94"/>
      <c r="L56" s="94"/>
      <c r="M56" s="94"/>
      <c r="N56" s="94"/>
      <c r="O56" s="94"/>
      <c r="P56" s="94"/>
      <c r="Q56" s="94"/>
    </row>
    <row r="57" spans="1:23" x14ac:dyDescent="0.2">
      <c r="A57" s="105" t="s">
        <v>175</v>
      </c>
      <c r="B57" s="94">
        <f t="shared" ref="B57:P57" si="11">B54-B51</f>
        <v>-2136485.7999999998</v>
      </c>
      <c r="C57" s="94">
        <f t="shared" si="11"/>
        <v>-2314035.7999999998</v>
      </c>
      <c r="D57" s="94">
        <f t="shared" si="11"/>
        <v>-2431535.7999999998</v>
      </c>
      <c r="E57" s="94">
        <f t="shared" si="11"/>
        <v>-303835.79999999981</v>
      </c>
      <c r="F57" s="94">
        <f t="shared" si="11"/>
        <v>-65106.799999999814</v>
      </c>
      <c r="G57" s="94">
        <f t="shared" si="11"/>
        <v>2136000</v>
      </c>
      <c r="H57" s="94">
        <f t="shared" si="11"/>
        <v>2112000</v>
      </c>
      <c r="I57" s="94">
        <f t="shared" si="11"/>
        <v>10272000</v>
      </c>
      <c r="J57" s="94">
        <f t="shared" si="11"/>
        <v>10272000</v>
      </c>
      <c r="K57" s="94">
        <f t="shared" si="11"/>
        <v>10272000</v>
      </c>
      <c r="L57" s="94">
        <f t="shared" si="11"/>
        <v>10272000</v>
      </c>
      <c r="M57" s="94">
        <f t="shared" si="11"/>
        <v>10272000</v>
      </c>
      <c r="N57" s="94">
        <f t="shared" si="11"/>
        <v>10272000</v>
      </c>
      <c r="O57" s="94">
        <f t="shared" si="11"/>
        <v>10272000</v>
      </c>
      <c r="P57" s="94">
        <f t="shared" si="11"/>
        <v>10272000</v>
      </c>
      <c r="Q57" s="94">
        <f>Q54-Q51</f>
        <v>81346324.800000012</v>
      </c>
    </row>
    <row r="58" spans="1:23" x14ac:dyDescent="0.2">
      <c r="A58" s="91"/>
      <c r="B58" s="94"/>
      <c r="C58" s="94"/>
      <c r="D58" s="94"/>
      <c r="E58" s="94"/>
      <c r="F58" s="94"/>
      <c r="G58" s="94"/>
      <c r="H58" s="94"/>
      <c r="I58" s="94"/>
      <c r="J58" s="94"/>
      <c r="K58" s="94"/>
      <c r="L58" s="94"/>
      <c r="M58" s="94"/>
      <c r="N58" s="94"/>
      <c r="O58" s="94"/>
      <c r="P58" s="94"/>
      <c r="Q58" s="94"/>
    </row>
    <row r="59" spans="1:23" ht="15" x14ac:dyDescent="0.25">
      <c r="A59" s="109" t="s">
        <v>6</v>
      </c>
      <c r="B59" s="94"/>
      <c r="C59" s="94"/>
      <c r="D59" s="110" t="s">
        <v>8</v>
      </c>
      <c r="E59" s="94"/>
      <c r="F59" s="94"/>
      <c r="G59" s="94"/>
      <c r="H59" s="94"/>
      <c r="I59" s="94"/>
      <c r="J59" s="94"/>
      <c r="K59" s="94"/>
      <c r="L59" s="94"/>
      <c r="M59" s="94"/>
      <c r="N59" s="94"/>
      <c r="O59" s="94"/>
      <c r="P59" s="94"/>
      <c r="Q59" s="94"/>
    </row>
    <row r="60" spans="1:23" ht="15" x14ac:dyDescent="0.25">
      <c r="A60" s="105" t="s">
        <v>175</v>
      </c>
      <c r="B60" s="119">
        <f>NPV(0.1,B57:Q57)</f>
        <v>42184602.145031162</v>
      </c>
      <c r="C60" s="94"/>
      <c r="D60" s="120">
        <f>IRR(B57:Q57)</f>
        <v>0.37272395576200079</v>
      </c>
      <c r="E60" s="94"/>
      <c r="F60" s="94"/>
      <c r="G60" s="94"/>
      <c r="H60" s="94"/>
      <c r="I60" s="94"/>
      <c r="J60" s="94"/>
      <c r="K60" s="94"/>
      <c r="L60" s="94"/>
      <c r="M60" s="94"/>
      <c r="N60" s="94"/>
      <c r="O60" s="94"/>
      <c r="P60" s="94"/>
      <c r="Q60" s="94"/>
    </row>
    <row r="61" spans="1:23" x14ac:dyDescent="0.2">
      <c r="A61" s="91"/>
      <c r="B61" s="91"/>
      <c r="C61" s="91"/>
      <c r="D61" s="91"/>
      <c r="E61" s="91"/>
      <c r="F61" s="91"/>
      <c r="G61" s="91"/>
      <c r="H61" s="91"/>
      <c r="I61" s="91"/>
      <c r="J61" s="91"/>
      <c r="K61" s="91"/>
      <c r="L61" s="91"/>
      <c r="M61" s="91"/>
      <c r="N61" s="91"/>
      <c r="O61" s="91"/>
      <c r="P61" s="91"/>
      <c r="Q61" s="91"/>
    </row>
    <row r="62" spans="1:23" ht="15" x14ac:dyDescent="0.25">
      <c r="A62" s="115" t="s">
        <v>11</v>
      </c>
      <c r="B62" s="115"/>
      <c r="C62" s="115"/>
      <c r="D62" s="91"/>
      <c r="E62" s="91"/>
      <c r="F62" s="91"/>
      <c r="G62" s="91"/>
      <c r="H62" s="91"/>
      <c r="I62" s="91"/>
      <c r="J62" s="91"/>
      <c r="K62" s="91"/>
      <c r="L62" s="91"/>
      <c r="M62" s="91"/>
      <c r="N62" s="91"/>
      <c r="O62" s="91"/>
      <c r="P62" s="91"/>
      <c r="Q62" s="91"/>
    </row>
    <row r="63" spans="1:23" x14ac:dyDescent="0.2">
      <c r="A63" s="91"/>
      <c r="B63" s="91"/>
      <c r="C63" s="91"/>
      <c r="D63" s="91"/>
      <c r="E63" s="91"/>
      <c r="F63" s="91"/>
      <c r="G63" s="91"/>
      <c r="H63" s="91"/>
      <c r="I63" s="91"/>
      <c r="J63" s="91"/>
      <c r="K63" s="91"/>
      <c r="L63" s="91"/>
      <c r="M63" s="91"/>
      <c r="N63" s="91"/>
      <c r="O63" s="91"/>
      <c r="P63" s="91"/>
      <c r="Q63" s="91"/>
    </row>
    <row r="64" spans="1:23" x14ac:dyDescent="0.2">
      <c r="A64" s="91"/>
      <c r="B64" s="91">
        <v>2020</v>
      </c>
      <c r="C64" s="91">
        <v>2021</v>
      </c>
      <c r="D64" s="91">
        <v>2022</v>
      </c>
      <c r="E64" s="91">
        <v>2023</v>
      </c>
      <c r="F64" s="91">
        <v>2024</v>
      </c>
      <c r="G64" s="91">
        <v>2025</v>
      </c>
      <c r="H64" s="91">
        <v>2026</v>
      </c>
      <c r="I64" s="91">
        <v>2027</v>
      </c>
      <c r="J64" s="91">
        <v>2028</v>
      </c>
      <c r="K64" s="91">
        <v>2029</v>
      </c>
      <c r="L64" s="91">
        <v>2030</v>
      </c>
      <c r="M64" s="91">
        <v>2031</v>
      </c>
      <c r="N64" s="91">
        <v>2032</v>
      </c>
      <c r="O64" s="91">
        <v>2033</v>
      </c>
      <c r="P64" s="91">
        <v>2034</v>
      </c>
      <c r="Q64" s="91">
        <v>2035</v>
      </c>
    </row>
    <row r="65" spans="1:17" ht="15" x14ac:dyDescent="0.25">
      <c r="A65" s="100" t="s">
        <v>2</v>
      </c>
      <c r="B65" s="91"/>
      <c r="C65" s="91"/>
      <c r="D65" s="91"/>
      <c r="E65" s="91"/>
      <c r="F65" s="91"/>
      <c r="G65" s="91"/>
      <c r="H65" s="91"/>
      <c r="I65" s="91"/>
      <c r="J65" s="91"/>
      <c r="K65" s="91"/>
      <c r="L65" s="91"/>
      <c r="M65" s="91"/>
      <c r="N65" s="91"/>
      <c r="O65" s="91"/>
      <c r="P65" s="91"/>
      <c r="Q65" s="91"/>
    </row>
    <row r="66" spans="1:17" x14ac:dyDescent="0.2">
      <c r="A66" s="91" t="s">
        <v>0</v>
      </c>
      <c r="B66" s="94">
        <f t="shared" ref="B66:P66" si="12">B36</f>
        <v>2563782.9599999995</v>
      </c>
      <c r="C66" s="94">
        <f t="shared" si="12"/>
        <v>2776842.9599999995</v>
      </c>
      <c r="D66" s="94">
        <f t="shared" si="12"/>
        <v>2917842.9599999995</v>
      </c>
      <c r="E66" s="94">
        <f t="shared" si="12"/>
        <v>2841402.9599999995</v>
      </c>
      <c r="F66" s="94">
        <f t="shared" si="12"/>
        <v>2670128.1599999997</v>
      </c>
      <c r="G66" s="94">
        <f t="shared" si="12"/>
        <v>0</v>
      </c>
      <c r="H66" s="94">
        <f t="shared" si="12"/>
        <v>0</v>
      </c>
      <c r="I66" s="94">
        <f t="shared" si="12"/>
        <v>0</v>
      </c>
      <c r="J66" s="94">
        <f t="shared" si="12"/>
        <v>0</v>
      </c>
      <c r="K66" s="94">
        <f t="shared" si="12"/>
        <v>0</v>
      </c>
      <c r="L66" s="94">
        <f t="shared" si="12"/>
        <v>0</v>
      </c>
      <c r="M66" s="94">
        <f t="shared" si="12"/>
        <v>0</v>
      </c>
      <c r="N66" s="94">
        <f t="shared" si="12"/>
        <v>0</v>
      </c>
      <c r="O66" s="94">
        <f t="shared" si="12"/>
        <v>0</v>
      </c>
      <c r="P66" s="94">
        <f t="shared" si="12"/>
        <v>0</v>
      </c>
      <c r="Q66" s="94">
        <f>Q36</f>
        <v>0</v>
      </c>
    </row>
    <row r="67" spans="1:17" x14ac:dyDescent="0.2">
      <c r="A67" s="91"/>
      <c r="B67" s="91"/>
      <c r="C67" s="91"/>
      <c r="D67" s="91"/>
      <c r="E67" s="91"/>
      <c r="F67" s="91"/>
      <c r="G67" s="91"/>
      <c r="H67" s="91"/>
      <c r="I67" s="91"/>
      <c r="J67" s="91"/>
      <c r="K67" s="91"/>
      <c r="L67" s="91"/>
      <c r="M67" s="91"/>
      <c r="N67" s="91"/>
      <c r="O67" s="91"/>
      <c r="P67" s="91"/>
      <c r="Q67" s="91"/>
    </row>
    <row r="68" spans="1:17" ht="15" x14ac:dyDescent="0.25">
      <c r="A68" s="100" t="s">
        <v>4</v>
      </c>
      <c r="B68" s="117"/>
      <c r="C68" s="117"/>
      <c r="D68" s="117"/>
      <c r="E68" s="117"/>
      <c r="F68" s="117"/>
      <c r="G68" s="117"/>
      <c r="H68" s="117"/>
      <c r="I68" s="117"/>
      <c r="J68" s="91"/>
      <c r="K68" s="91"/>
      <c r="L68" s="91"/>
      <c r="M68" s="91"/>
      <c r="N68" s="91"/>
      <c r="O68" s="91"/>
      <c r="P68" s="91"/>
      <c r="Q68" s="91"/>
    </row>
    <row r="69" spans="1:17" x14ac:dyDescent="0.2">
      <c r="A69" s="105" t="s">
        <v>175</v>
      </c>
      <c r="B69" s="94">
        <f t="shared" ref="B69:P69" si="13">B54</f>
        <v>0</v>
      </c>
      <c r="C69" s="94">
        <f t="shared" si="13"/>
        <v>0</v>
      </c>
      <c r="D69" s="94">
        <f t="shared" si="13"/>
        <v>0</v>
      </c>
      <c r="E69" s="94">
        <f t="shared" si="13"/>
        <v>2064000</v>
      </c>
      <c r="F69" s="94">
        <f t="shared" si="13"/>
        <v>2160000</v>
      </c>
      <c r="G69" s="94">
        <f t="shared" si="13"/>
        <v>2136000</v>
      </c>
      <c r="H69" s="94">
        <f t="shared" si="13"/>
        <v>2112000</v>
      </c>
      <c r="I69" s="94">
        <f t="shared" si="13"/>
        <v>10272000</v>
      </c>
      <c r="J69" s="94">
        <f t="shared" si="13"/>
        <v>10272000</v>
      </c>
      <c r="K69" s="94">
        <f t="shared" si="13"/>
        <v>10272000</v>
      </c>
      <c r="L69" s="94">
        <f t="shared" si="13"/>
        <v>10272000</v>
      </c>
      <c r="M69" s="94">
        <f t="shared" si="13"/>
        <v>10272000</v>
      </c>
      <c r="N69" s="94">
        <f t="shared" si="13"/>
        <v>10272000</v>
      </c>
      <c r="O69" s="94">
        <f t="shared" si="13"/>
        <v>10272000</v>
      </c>
      <c r="P69" s="94">
        <f t="shared" si="13"/>
        <v>10272000</v>
      </c>
      <c r="Q69" s="94">
        <f>Q54</f>
        <v>81346324.800000012</v>
      </c>
    </row>
    <row r="70" spans="1:17" x14ac:dyDescent="0.2">
      <c r="A70" s="91"/>
      <c r="B70" s="94"/>
      <c r="C70" s="94"/>
      <c r="D70" s="94"/>
      <c r="E70" s="94"/>
      <c r="F70" s="94"/>
      <c r="G70" s="94"/>
      <c r="H70" s="94"/>
      <c r="I70" s="94"/>
      <c r="J70" s="94"/>
      <c r="K70" s="94"/>
      <c r="L70" s="94"/>
      <c r="M70" s="94"/>
      <c r="N70" s="94"/>
      <c r="O70" s="94"/>
      <c r="P70" s="94"/>
      <c r="Q70" s="94"/>
    </row>
    <row r="71" spans="1:17" ht="15" x14ac:dyDescent="0.25">
      <c r="A71" s="109" t="s">
        <v>5</v>
      </c>
      <c r="B71" s="94"/>
      <c r="C71" s="94"/>
      <c r="D71" s="94"/>
      <c r="E71" s="94"/>
      <c r="F71" s="94"/>
      <c r="G71" s="94"/>
      <c r="H71" s="94"/>
      <c r="I71" s="94"/>
      <c r="J71" s="94"/>
      <c r="K71" s="94"/>
      <c r="L71" s="94"/>
      <c r="M71" s="94"/>
      <c r="N71" s="94"/>
      <c r="O71" s="94"/>
      <c r="P71" s="94"/>
      <c r="Q71" s="94"/>
    </row>
    <row r="72" spans="1:17" x14ac:dyDescent="0.2">
      <c r="A72" s="105" t="s">
        <v>175</v>
      </c>
      <c r="B72" s="94">
        <f t="shared" ref="B72:P72" si="14">B69-B66</f>
        <v>-2563782.9599999995</v>
      </c>
      <c r="C72" s="94">
        <f t="shared" si="14"/>
        <v>-2776842.9599999995</v>
      </c>
      <c r="D72" s="94">
        <f t="shared" si="14"/>
        <v>-2917842.9599999995</v>
      </c>
      <c r="E72" s="94">
        <f t="shared" si="14"/>
        <v>-777402.9599999995</v>
      </c>
      <c r="F72" s="94">
        <f t="shared" si="14"/>
        <v>-510128.15999999968</v>
      </c>
      <c r="G72" s="94">
        <f t="shared" si="14"/>
        <v>2136000</v>
      </c>
      <c r="H72" s="94">
        <f t="shared" si="14"/>
        <v>2112000</v>
      </c>
      <c r="I72" s="94">
        <f t="shared" si="14"/>
        <v>10272000</v>
      </c>
      <c r="J72" s="94">
        <f t="shared" si="14"/>
        <v>10272000</v>
      </c>
      <c r="K72" s="94">
        <f t="shared" si="14"/>
        <v>10272000</v>
      </c>
      <c r="L72" s="94">
        <f t="shared" si="14"/>
        <v>10272000</v>
      </c>
      <c r="M72" s="94">
        <f t="shared" si="14"/>
        <v>10272000</v>
      </c>
      <c r="N72" s="94">
        <f t="shared" si="14"/>
        <v>10272000</v>
      </c>
      <c r="O72" s="94">
        <f t="shared" si="14"/>
        <v>10272000</v>
      </c>
      <c r="P72" s="94">
        <f t="shared" si="14"/>
        <v>10272000</v>
      </c>
      <c r="Q72" s="94">
        <f>Q69-Q66</f>
        <v>81346324.800000012</v>
      </c>
    </row>
    <row r="73" spans="1:17" x14ac:dyDescent="0.2">
      <c r="A73" s="91"/>
      <c r="B73" s="94"/>
      <c r="C73" s="94"/>
      <c r="D73" s="94"/>
      <c r="E73" s="94"/>
      <c r="F73" s="94"/>
      <c r="G73" s="94"/>
      <c r="H73" s="94"/>
      <c r="I73" s="94"/>
      <c r="J73" s="94"/>
      <c r="K73" s="94"/>
      <c r="L73" s="94"/>
      <c r="M73" s="94"/>
      <c r="N73" s="94"/>
      <c r="O73" s="94"/>
      <c r="P73" s="94"/>
      <c r="Q73" s="91"/>
    </row>
    <row r="74" spans="1:17" ht="15" x14ac:dyDescent="0.25">
      <c r="A74" s="109" t="s">
        <v>6</v>
      </c>
      <c r="B74" s="94"/>
      <c r="C74" s="94"/>
      <c r="D74" s="110" t="s">
        <v>8</v>
      </c>
      <c r="E74" s="94"/>
      <c r="F74" s="94"/>
      <c r="G74" s="94"/>
      <c r="H74" s="94"/>
      <c r="I74" s="94"/>
      <c r="J74" s="94"/>
      <c r="K74" s="94"/>
      <c r="L74" s="94"/>
      <c r="M74" s="94"/>
      <c r="N74" s="94"/>
      <c r="O74" s="94"/>
      <c r="P74" s="94"/>
      <c r="Q74" s="91"/>
    </row>
    <row r="75" spans="1:17" ht="13.9" x14ac:dyDescent="0.4">
      <c r="A75" s="105" t="s">
        <v>175</v>
      </c>
      <c r="B75" s="119">
        <f>NPV(0.1, B72:Q72)</f>
        <v>40448519.164164223</v>
      </c>
      <c r="C75" s="94"/>
      <c r="D75" s="120">
        <f>IRR(B72:Q72)</f>
        <v>0.33626944479525145</v>
      </c>
      <c r="E75" s="94"/>
      <c r="F75" s="94"/>
      <c r="G75" s="94"/>
      <c r="H75" s="94"/>
      <c r="I75" s="94"/>
      <c r="J75" s="94"/>
      <c r="K75" s="94"/>
      <c r="L75" s="94"/>
      <c r="M75" s="94"/>
      <c r="N75" s="94"/>
      <c r="O75" s="94"/>
      <c r="P75" s="94"/>
      <c r="Q75" s="91"/>
    </row>
    <row r="77" spans="1:17" ht="15" thickBot="1" x14ac:dyDescent="0.25"/>
    <row r="78" spans="1:17" ht="142.5" x14ac:dyDescent="0.2">
      <c r="A78" s="3"/>
      <c r="B78" s="123" t="s">
        <v>175</v>
      </c>
      <c r="D78" s="123" t="s">
        <v>176</v>
      </c>
    </row>
    <row r="79" spans="1:17" x14ac:dyDescent="0.2">
      <c r="A79" s="4" t="s">
        <v>12</v>
      </c>
      <c r="B79" s="2">
        <f>B27</f>
        <v>54900856.407372609</v>
      </c>
      <c r="C79" s="2"/>
      <c r="D79" s="9">
        <f>D27</f>
        <v>0.4212571619717862</v>
      </c>
    </row>
    <row r="80" spans="1:17" x14ac:dyDescent="0.2">
      <c r="A80" s="4" t="s">
        <v>172</v>
      </c>
      <c r="B80" s="2">
        <f>B45</f>
        <v>53164773.426505677</v>
      </c>
      <c r="C80" s="2"/>
      <c r="D80" s="9">
        <f>D45</f>
        <v>0.38126451325695232</v>
      </c>
    </row>
    <row r="81" spans="1:4" x14ac:dyDescent="0.2">
      <c r="A81" s="4" t="s">
        <v>173</v>
      </c>
      <c r="B81" s="2">
        <f>B60</f>
        <v>42184602.145031162</v>
      </c>
      <c r="C81" s="2"/>
      <c r="D81" s="9">
        <f>D60</f>
        <v>0.37272395576200079</v>
      </c>
    </row>
    <row r="82" spans="1:4" ht="15" thickBot="1" x14ac:dyDescent="0.25">
      <c r="A82" s="5" t="s">
        <v>174</v>
      </c>
      <c r="B82" s="6">
        <f>B75</f>
        <v>40448519.164164223</v>
      </c>
      <c r="C82" s="6"/>
      <c r="D82" s="10">
        <f>D75</f>
        <v>0.33626944479525145</v>
      </c>
    </row>
  </sheetData>
  <mergeCells count="1">
    <mergeCell ref="C1:G1"/>
  </mergeCells>
  <conditionalFormatting sqref="A78:D82">
    <cfRule type="colorScale" priority="1">
      <colorScale>
        <cfvo type="min"/>
        <cfvo type="max"/>
        <color rgb="FF63BE7B"/>
        <color rgb="FFFCFCFF"/>
      </colorScale>
    </cfRule>
  </conditionalFormatting>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26"/>
  <sheetViews>
    <sheetView tabSelected="1" workbookViewId="0">
      <selection activeCell="B28" sqref="B28"/>
    </sheetView>
  </sheetViews>
  <sheetFormatPr defaultRowHeight="15" x14ac:dyDescent="0.25"/>
  <cols>
    <col min="1" max="1" width="13.140625" customWidth="1"/>
    <col min="2" max="2" width="49.42578125" customWidth="1"/>
    <col min="3" max="3" width="32.140625" customWidth="1"/>
    <col min="5" max="5" width="51.7109375" customWidth="1"/>
  </cols>
  <sheetData>
    <row r="2" spans="1:5" x14ac:dyDescent="0.25">
      <c r="A2" s="88" t="s">
        <v>161</v>
      </c>
      <c r="B2" s="147" t="s">
        <v>162</v>
      </c>
      <c r="C2" s="147"/>
      <c r="D2" s="147"/>
      <c r="E2" s="147"/>
    </row>
    <row r="3" spans="1:5" ht="29.65" customHeight="1" x14ac:dyDescent="0.25">
      <c r="A3" s="88"/>
      <c r="B3" s="147"/>
      <c r="C3" s="147"/>
      <c r="D3" s="147"/>
      <c r="E3" s="147"/>
    </row>
    <row r="4" spans="1:5" ht="14.65" thickBot="1" x14ac:dyDescent="0.5">
      <c r="A4" s="88"/>
      <c r="B4" s="88"/>
      <c r="C4" s="88"/>
      <c r="D4" s="88"/>
      <c r="E4" s="88"/>
    </row>
    <row r="5" spans="1:5" ht="14.25" x14ac:dyDescent="0.45">
      <c r="A5" s="88"/>
      <c r="B5" s="127" t="s">
        <v>163</v>
      </c>
      <c r="C5" s="128"/>
      <c r="D5" s="88"/>
      <c r="E5" s="88"/>
    </row>
    <row r="6" spans="1:5" ht="15.75" customHeight="1" x14ac:dyDescent="0.45">
      <c r="A6" s="88"/>
      <c r="B6" s="129">
        <v>2020</v>
      </c>
      <c r="C6" s="130">
        <v>40</v>
      </c>
      <c r="D6" s="88"/>
      <c r="E6" s="88"/>
    </row>
    <row r="7" spans="1:5" ht="18" customHeight="1" x14ac:dyDescent="0.45">
      <c r="A7" s="88"/>
      <c r="B7" s="129">
        <v>2034</v>
      </c>
      <c r="C7" s="130">
        <v>54</v>
      </c>
      <c r="D7" s="88"/>
      <c r="E7" s="88"/>
    </row>
    <row r="8" spans="1:5" ht="14.25" x14ac:dyDescent="0.45">
      <c r="A8" s="88"/>
      <c r="B8" s="129"/>
      <c r="C8" s="130"/>
      <c r="D8" s="88"/>
      <c r="E8" s="88"/>
    </row>
    <row r="9" spans="1:5" ht="14.25" x14ac:dyDescent="0.45">
      <c r="A9" s="88"/>
      <c r="B9" s="129" t="s">
        <v>164</v>
      </c>
      <c r="C9" s="130"/>
      <c r="D9" s="88"/>
      <c r="E9" s="88"/>
    </row>
    <row r="10" spans="1:5" ht="15.75" customHeight="1" x14ac:dyDescent="0.45">
      <c r="A10" s="88"/>
      <c r="B10" s="129">
        <v>2020</v>
      </c>
      <c r="C10" s="130">
        <v>80</v>
      </c>
      <c r="D10" s="88"/>
      <c r="E10" s="88"/>
    </row>
    <row r="11" spans="1:5" ht="24" customHeight="1" thickBot="1" x14ac:dyDescent="0.5">
      <c r="A11" s="88"/>
      <c r="B11" s="131">
        <v>2034</v>
      </c>
      <c r="C11" s="132">
        <v>109</v>
      </c>
      <c r="D11" s="88"/>
      <c r="E11" s="88"/>
    </row>
    <row r="12" spans="1:5" s="11" customFormat="1" ht="14.65" thickBot="1" x14ac:dyDescent="0.5">
      <c r="A12" s="88"/>
      <c r="B12" s="133"/>
      <c r="C12" s="133"/>
      <c r="D12" s="88"/>
      <c r="E12" s="88"/>
    </row>
    <row r="13" spans="1:5" ht="19.5" customHeight="1" x14ac:dyDescent="0.45">
      <c r="A13" s="88"/>
      <c r="B13" s="127" t="s">
        <v>165</v>
      </c>
      <c r="C13" s="128" t="s">
        <v>166</v>
      </c>
      <c r="D13" s="88"/>
      <c r="E13" s="88"/>
    </row>
    <row r="14" spans="1:5" ht="34.5" customHeight="1" x14ac:dyDescent="0.45">
      <c r="A14" s="88"/>
      <c r="B14" s="134" t="s">
        <v>177</v>
      </c>
      <c r="C14" s="135">
        <v>-54325.5</v>
      </c>
      <c r="D14" s="88"/>
      <c r="E14" s="88"/>
    </row>
    <row r="15" spans="1:5" ht="57" customHeight="1" x14ac:dyDescent="0.45">
      <c r="A15" s="88"/>
      <c r="B15" s="134" t="s">
        <v>178</v>
      </c>
      <c r="C15" s="135">
        <v>-54325.5</v>
      </c>
      <c r="D15" s="88"/>
      <c r="E15" s="88"/>
    </row>
    <row r="16" spans="1:5" ht="36.75" customHeight="1" x14ac:dyDescent="0.45">
      <c r="A16" s="88"/>
      <c r="B16" s="134" t="s">
        <v>179</v>
      </c>
      <c r="C16" s="130">
        <v>-139506</v>
      </c>
      <c r="D16" s="88"/>
      <c r="E16" s="88"/>
    </row>
    <row r="17" spans="1:5" ht="21.75" customHeight="1" x14ac:dyDescent="0.45">
      <c r="A17" s="88"/>
      <c r="B17" s="129" t="s">
        <v>167</v>
      </c>
      <c r="C17" s="130">
        <v>-255688</v>
      </c>
      <c r="D17" s="88"/>
      <c r="E17" s="88"/>
    </row>
    <row r="18" spans="1:5" ht="21.75" customHeight="1" x14ac:dyDescent="0.45">
      <c r="A18" s="88"/>
      <c r="B18" s="129" t="s">
        <v>168</v>
      </c>
      <c r="C18" s="130">
        <v>-97275</v>
      </c>
      <c r="D18" s="88"/>
      <c r="E18" s="88"/>
    </row>
    <row r="19" spans="1:5" ht="18.75" customHeight="1" x14ac:dyDescent="0.45">
      <c r="A19" s="88"/>
      <c r="B19" s="129" t="s">
        <v>169</v>
      </c>
      <c r="C19" s="136">
        <v>-64119</v>
      </c>
      <c r="D19" s="88"/>
      <c r="E19" s="88"/>
    </row>
    <row r="20" spans="1:5" ht="20.25" customHeight="1" thickBot="1" x14ac:dyDescent="0.5">
      <c r="A20" s="88"/>
      <c r="B20" s="131" t="s">
        <v>0</v>
      </c>
      <c r="C20" s="137">
        <v>-1645239</v>
      </c>
      <c r="D20" s="88"/>
      <c r="E20" s="88"/>
    </row>
    <row r="21" spans="1:5" ht="14.65" thickBot="1" x14ac:dyDescent="0.5">
      <c r="A21" s="88"/>
      <c r="B21" s="133"/>
      <c r="C21" s="133"/>
      <c r="D21" s="88"/>
      <c r="E21" s="88"/>
    </row>
    <row r="22" spans="1:5" ht="14.25" x14ac:dyDescent="0.45">
      <c r="A22" s="88"/>
      <c r="B22" s="138" t="s">
        <v>170</v>
      </c>
      <c r="C22" s="139"/>
      <c r="D22" s="88"/>
      <c r="E22" s="88"/>
    </row>
    <row r="23" spans="1:5" ht="14.25" x14ac:dyDescent="0.45">
      <c r="A23" s="88"/>
      <c r="B23" s="140"/>
      <c r="C23" s="141">
        <f>C20*C7</f>
        <v>-88842906</v>
      </c>
      <c r="D23" s="88"/>
      <c r="E23" s="88"/>
    </row>
    <row r="24" spans="1:5" ht="14.25" x14ac:dyDescent="0.45">
      <c r="A24" s="88"/>
      <c r="B24" s="140" t="s">
        <v>171</v>
      </c>
      <c r="C24" s="142"/>
      <c r="D24" s="88"/>
      <c r="E24" s="88"/>
    </row>
    <row r="25" spans="1:5" ht="14.65" thickBot="1" x14ac:dyDescent="0.5">
      <c r="A25" s="88"/>
      <c r="B25" s="143"/>
      <c r="C25" s="144">
        <f>C11*C20</f>
        <v>-179331051</v>
      </c>
      <c r="D25" s="88"/>
      <c r="E25" s="88"/>
    </row>
    <row r="26" spans="1:5" ht="14.25" x14ac:dyDescent="0.45">
      <c r="A26" s="88"/>
      <c r="B26" s="126"/>
      <c r="C26" s="126"/>
      <c r="D26" s="88"/>
      <c r="E26" s="88"/>
    </row>
  </sheetData>
  <mergeCells count="1">
    <mergeCell ref="B2:E3"/>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50"/>
  <sheetViews>
    <sheetView zoomScale="90" zoomScaleNormal="90" workbookViewId="0">
      <pane xSplit="6" ySplit="5" topLeftCell="I6" activePane="bottomRight" state="frozen"/>
      <selection pane="topRight" activeCell="G1" sqref="G1"/>
      <selection pane="bottomLeft" activeCell="A6" sqref="A6"/>
      <selection pane="bottomRight" activeCell="A11" sqref="A11:A28"/>
    </sheetView>
  </sheetViews>
  <sheetFormatPr defaultColWidth="8.85546875" defaultRowHeight="15" x14ac:dyDescent="0.25"/>
  <cols>
    <col min="1" max="1" width="26" style="11" customWidth="1"/>
    <col min="2" max="2" width="22.140625" style="11" customWidth="1"/>
    <col min="3" max="3" width="19.28515625" style="11" customWidth="1"/>
    <col min="4" max="4" width="17.42578125" style="11" customWidth="1"/>
    <col min="5" max="5" width="20.28515625" style="11" customWidth="1"/>
    <col min="6" max="6" width="14.7109375" style="11" customWidth="1"/>
    <col min="7" max="7" width="10.7109375" style="11" customWidth="1"/>
    <col min="8" max="8" width="8.140625" style="11" customWidth="1"/>
    <col min="9" max="9" width="12.42578125" style="11" customWidth="1"/>
    <col min="10" max="10" width="10.85546875" style="11" customWidth="1"/>
    <col min="11" max="11" width="11.28515625" style="11" customWidth="1"/>
    <col min="12" max="12" width="11" style="11" customWidth="1"/>
    <col min="13" max="13" width="12" style="11" customWidth="1"/>
    <col min="14" max="14" width="12.28515625" style="11" customWidth="1"/>
    <col min="15" max="16" width="14.28515625" style="11" customWidth="1"/>
    <col min="17" max="17" width="22.7109375" style="11" customWidth="1"/>
    <col min="18" max="18" width="15.42578125" style="11" customWidth="1"/>
    <col min="19" max="20" width="8.85546875" style="11"/>
    <col min="21" max="21" width="12.42578125" style="11" customWidth="1"/>
    <col min="22" max="22" width="15.7109375" style="11" customWidth="1"/>
    <col min="23" max="23" width="17.42578125" style="11" customWidth="1"/>
    <col min="24" max="24" width="23.85546875" style="11" customWidth="1"/>
    <col min="25" max="25" width="14.7109375" style="11" customWidth="1"/>
    <col min="26" max="26" width="13.42578125" style="11" bestFit="1" customWidth="1"/>
    <col min="27" max="27" width="17" style="11" customWidth="1"/>
    <col min="28" max="16384" width="8.85546875" style="11"/>
  </cols>
  <sheetData>
    <row r="1" spans="1:27" ht="14.25" x14ac:dyDescent="0.45">
      <c r="A1" s="12" t="s">
        <v>14</v>
      </c>
      <c r="B1" s="13"/>
      <c r="C1" s="14"/>
      <c r="D1" s="15"/>
      <c r="E1" s="15"/>
      <c r="F1" s="15"/>
      <c r="G1" s="16"/>
      <c r="H1" s="16"/>
      <c r="I1" s="16"/>
      <c r="J1" s="17"/>
      <c r="K1" s="16"/>
      <c r="L1" s="16"/>
      <c r="M1" s="16"/>
      <c r="N1" s="16"/>
    </row>
    <row r="2" spans="1:27" ht="20.25" customHeight="1" x14ac:dyDescent="0.45">
      <c r="A2" s="18" t="s">
        <v>15</v>
      </c>
      <c r="B2" s="19">
        <f>Q43</f>
        <v>11475000</v>
      </c>
      <c r="C2" s="14"/>
      <c r="D2" s="15"/>
      <c r="E2" s="15"/>
      <c r="F2" s="15"/>
      <c r="G2" s="15"/>
      <c r="H2" s="15"/>
      <c r="I2" s="20"/>
      <c r="J2" s="15"/>
      <c r="K2" s="15"/>
      <c r="L2" s="15"/>
      <c r="M2" s="15"/>
      <c r="N2" s="15"/>
    </row>
    <row r="3" spans="1:27" ht="21.75" customHeight="1" thickBot="1" x14ac:dyDescent="0.5">
      <c r="A3" s="21" t="s">
        <v>16</v>
      </c>
      <c r="B3" s="21"/>
      <c r="C3" s="22"/>
      <c r="D3" s="8"/>
      <c r="E3" s="8"/>
      <c r="F3" s="8"/>
      <c r="G3" s="23"/>
      <c r="H3" s="16"/>
      <c r="I3" s="17"/>
      <c r="J3" s="17"/>
      <c r="K3" s="16"/>
      <c r="L3" s="16"/>
      <c r="M3" s="16"/>
      <c r="N3" s="16"/>
    </row>
    <row r="4" spans="1:27" s="27" customFormat="1" ht="15" customHeight="1" thickBot="1" x14ac:dyDescent="0.25">
      <c r="A4" s="24"/>
      <c r="B4" s="24"/>
      <c r="C4" s="25"/>
      <c r="D4" s="24"/>
      <c r="E4" s="24"/>
      <c r="F4" s="155" t="s">
        <v>17</v>
      </c>
      <c r="G4" s="155"/>
      <c r="H4" s="155"/>
      <c r="I4" s="155"/>
      <c r="J4" s="155" t="s">
        <v>18</v>
      </c>
      <c r="K4" s="155"/>
      <c r="L4" s="155"/>
      <c r="M4" s="155"/>
      <c r="N4" s="155"/>
      <c r="O4" s="156" t="s">
        <v>19</v>
      </c>
      <c r="P4" s="26"/>
      <c r="R4" s="157" t="s">
        <v>20</v>
      </c>
      <c r="S4" s="158"/>
      <c r="U4" s="28"/>
      <c r="V4" s="159" t="s">
        <v>21</v>
      </c>
      <c r="W4" s="159"/>
      <c r="X4" s="159"/>
      <c r="Y4" s="159"/>
      <c r="Z4" s="159"/>
      <c r="AA4" s="29"/>
    </row>
    <row r="5" spans="1:27" s="27" customFormat="1" ht="39" customHeight="1" x14ac:dyDescent="0.2">
      <c r="A5" s="30" t="s">
        <v>22</v>
      </c>
      <c r="B5" s="30" t="s">
        <v>23</v>
      </c>
      <c r="C5" s="30" t="s">
        <v>24</v>
      </c>
      <c r="D5" s="30" t="s">
        <v>25</v>
      </c>
      <c r="E5" s="30" t="s">
        <v>26</v>
      </c>
      <c r="F5" s="30" t="s">
        <v>27</v>
      </c>
      <c r="G5" s="30" t="s">
        <v>28</v>
      </c>
      <c r="H5" s="30" t="s">
        <v>29</v>
      </c>
      <c r="I5" s="30" t="s">
        <v>30</v>
      </c>
      <c r="J5" s="30" t="s">
        <v>31</v>
      </c>
      <c r="K5" s="30" t="s">
        <v>32</v>
      </c>
      <c r="L5" s="30" t="s">
        <v>33</v>
      </c>
      <c r="M5" s="30" t="s">
        <v>34</v>
      </c>
      <c r="N5" s="30" t="s">
        <v>35</v>
      </c>
      <c r="O5" s="156"/>
      <c r="P5" s="26"/>
      <c r="R5" s="31" t="s">
        <v>36</v>
      </c>
      <c r="S5" s="32" t="s">
        <v>37</v>
      </c>
      <c r="U5" s="28"/>
      <c r="V5" s="33" t="s">
        <v>38</v>
      </c>
      <c r="W5" s="33" t="s">
        <v>39</v>
      </c>
      <c r="X5" s="33" t="s">
        <v>40</v>
      </c>
      <c r="Y5" s="33" t="s">
        <v>41</v>
      </c>
      <c r="Z5" s="33" t="s">
        <v>42</v>
      </c>
      <c r="AA5" s="29" t="s">
        <v>0</v>
      </c>
    </row>
    <row r="6" spans="1:27" s="27" customFormat="1" ht="30" customHeight="1" x14ac:dyDescent="0.25">
      <c r="A6" s="148" t="s">
        <v>43</v>
      </c>
      <c r="B6" s="151" t="s">
        <v>44</v>
      </c>
      <c r="C6" s="153" t="s">
        <v>45</v>
      </c>
      <c r="D6" s="34" t="s">
        <v>41</v>
      </c>
      <c r="E6" s="34" t="s">
        <v>46</v>
      </c>
      <c r="F6" s="34" t="s">
        <v>47</v>
      </c>
      <c r="G6" s="35">
        <v>1700000</v>
      </c>
      <c r="H6" s="36">
        <v>1</v>
      </c>
      <c r="I6" s="35">
        <f>G6*H6</f>
        <v>1700000</v>
      </c>
      <c r="J6" s="37">
        <v>240000</v>
      </c>
      <c r="K6" s="37">
        <v>340000</v>
      </c>
      <c r="L6" s="37">
        <v>390000</v>
      </c>
      <c r="M6" s="37">
        <v>390000</v>
      </c>
      <c r="N6" s="37">
        <v>340000</v>
      </c>
      <c r="O6" s="38" t="s">
        <v>48</v>
      </c>
      <c r="P6" s="39"/>
      <c r="Q6" s="11"/>
      <c r="R6" s="40">
        <f>SUM(J6:N6)</f>
        <v>1700000</v>
      </c>
      <c r="S6" s="32" t="str">
        <f t="shared" ref="S6:S37" si="0">IF(I6=R6,"TRUE","FALSE")</f>
        <v>TRUE</v>
      </c>
      <c r="U6" s="31"/>
      <c r="V6" s="41">
        <f>(SUMIF($D$6:$D$37,D11,$I$6:$I$37))</f>
        <v>2550000</v>
      </c>
      <c r="W6" s="41">
        <f ca="1">(SUMIF($D$6:$D$37,D9,$I$6:$I$36))</f>
        <v>5950000</v>
      </c>
      <c r="X6" s="41">
        <f>(SUMIF($D$6:$D$36,D8,$I$6:$I$36))</f>
        <v>850000</v>
      </c>
      <c r="Y6" s="41">
        <f ca="1">(SUMIF($D$6:$D$37,D6,$I$6:$I$36))</f>
        <v>1700000</v>
      </c>
      <c r="Z6" s="41">
        <f>(SUMIF($D$6:$D$37,D36,$I$6:$I$37))</f>
        <v>425000</v>
      </c>
      <c r="AA6" s="42">
        <f ca="1">SUM(V6:Z6)</f>
        <v>11475000</v>
      </c>
    </row>
    <row r="7" spans="1:27" s="27" customFormat="1" ht="139.69999999999999" customHeight="1" thickBot="1" x14ac:dyDescent="0.3">
      <c r="A7" s="149"/>
      <c r="B7" s="152"/>
      <c r="C7" s="153"/>
      <c r="D7" s="34" t="s">
        <v>49</v>
      </c>
      <c r="E7" s="34" t="s">
        <v>46</v>
      </c>
      <c r="F7" s="34" t="s">
        <v>47</v>
      </c>
      <c r="G7" s="35">
        <v>2975000</v>
      </c>
      <c r="H7" s="36">
        <v>1</v>
      </c>
      <c r="I7" s="35">
        <f>G7*H7</f>
        <v>2975000</v>
      </c>
      <c r="J7" s="35">
        <v>575000</v>
      </c>
      <c r="K7" s="35">
        <v>600000</v>
      </c>
      <c r="L7" s="35">
        <v>600000</v>
      </c>
      <c r="M7" s="35">
        <v>600000</v>
      </c>
      <c r="N7" s="35">
        <v>600000</v>
      </c>
      <c r="O7" s="43" t="s">
        <v>50</v>
      </c>
      <c r="P7" s="44"/>
      <c r="Q7" s="1"/>
      <c r="R7" s="40">
        <f t="shared" ref="R7:R37" si="1">SUM(J7:N7)</f>
        <v>2975000</v>
      </c>
      <c r="S7" s="32" t="str">
        <f t="shared" si="0"/>
        <v>TRUE</v>
      </c>
      <c r="U7" s="45" t="s">
        <v>51</v>
      </c>
      <c r="V7" s="46">
        <f ca="1">SUM(V6:W6)</f>
        <v>8500000</v>
      </c>
      <c r="W7" s="47"/>
      <c r="X7" s="47" t="s">
        <v>52</v>
      </c>
      <c r="Y7" s="46">
        <f ca="1">SUM(X6:Z6)</f>
        <v>2975000</v>
      </c>
      <c r="Z7" s="47"/>
      <c r="AA7" s="48">
        <f ca="1">SUM(Y7,V7)</f>
        <v>11475000</v>
      </c>
    </row>
    <row r="8" spans="1:27" s="27" customFormat="1" ht="36.75" customHeight="1" x14ac:dyDescent="0.25">
      <c r="A8" s="149"/>
      <c r="B8" s="151" t="s">
        <v>53</v>
      </c>
      <c r="C8" s="153" t="s">
        <v>54</v>
      </c>
      <c r="D8" s="34" t="s">
        <v>55</v>
      </c>
      <c r="E8" s="34" t="s">
        <v>46</v>
      </c>
      <c r="F8" s="34" t="s">
        <v>47</v>
      </c>
      <c r="G8" s="35">
        <v>850000</v>
      </c>
      <c r="H8" s="49">
        <v>1</v>
      </c>
      <c r="I8" s="35">
        <f>G8*H8</f>
        <v>850000</v>
      </c>
      <c r="J8" s="35">
        <v>110000</v>
      </c>
      <c r="K8" s="35">
        <v>200000</v>
      </c>
      <c r="L8" s="35">
        <v>210000</v>
      </c>
      <c r="M8" s="35">
        <v>210000</v>
      </c>
      <c r="N8" s="35">
        <v>120000</v>
      </c>
      <c r="O8" s="43" t="s">
        <v>56</v>
      </c>
      <c r="P8" s="44"/>
      <c r="Q8" s="1"/>
      <c r="R8" s="40">
        <f t="shared" si="1"/>
        <v>850000</v>
      </c>
      <c r="S8" s="32" t="str">
        <f t="shared" si="0"/>
        <v>TRUE</v>
      </c>
    </row>
    <row r="9" spans="1:27" s="27" customFormat="1" ht="120.75" customHeight="1" x14ac:dyDescent="0.25">
      <c r="A9" s="149"/>
      <c r="B9" s="154"/>
      <c r="C9" s="153"/>
      <c r="D9" s="34" t="s">
        <v>49</v>
      </c>
      <c r="E9" s="34" t="s">
        <v>46</v>
      </c>
      <c r="F9" s="34" t="s">
        <v>47</v>
      </c>
      <c r="G9" s="35">
        <v>2975000</v>
      </c>
      <c r="H9" s="36">
        <v>1</v>
      </c>
      <c r="I9" s="35">
        <f>G9*H9</f>
        <v>2975000</v>
      </c>
      <c r="J9" s="35">
        <v>555000</v>
      </c>
      <c r="K9" s="35">
        <v>580000</v>
      </c>
      <c r="L9" s="35">
        <v>580000</v>
      </c>
      <c r="M9" s="35">
        <v>580000</v>
      </c>
      <c r="N9" s="35">
        <v>680000</v>
      </c>
      <c r="O9" s="43" t="s">
        <v>57</v>
      </c>
      <c r="P9" s="44"/>
      <c r="Q9" s="1">
        <f>SUM(I6:I10)</f>
        <v>8560000</v>
      </c>
      <c r="R9" s="40">
        <f t="shared" si="1"/>
        <v>2975000</v>
      </c>
      <c r="S9" s="32" t="str">
        <f t="shared" si="0"/>
        <v>TRUE</v>
      </c>
      <c r="X9" s="50"/>
      <c r="Y9" s="50"/>
    </row>
    <row r="10" spans="1:27" s="27" customFormat="1" ht="56.25" customHeight="1" x14ac:dyDescent="0.25">
      <c r="A10" s="150"/>
      <c r="B10" s="152"/>
      <c r="C10" s="51" t="s">
        <v>58</v>
      </c>
      <c r="D10" s="34" t="s">
        <v>59</v>
      </c>
      <c r="E10" s="34" t="s">
        <v>60</v>
      </c>
      <c r="F10" s="34" t="s">
        <v>47</v>
      </c>
      <c r="G10" s="35">
        <v>20000</v>
      </c>
      <c r="H10" s="36">
        <v>3</v>
      </c>
      <c r="I10" s="35">
        <v>60000</v>
      </c>
      <c r="J10" s="35">
        <v>20000</v>
      </c>
      <c r="K10" s="35">
        <v>0</v>
      </c>
      <c r="L10" s="35">
        <v>20000</v>
      </c>
      <c r="M10" s="35">
        <v>0</v>
      </c>
      <c r="N10" s="35">
        <v>20000</v>
      </c>
      <c r="O10" s="43" t="s">
        <v>61</v>
      </c>
      <c r="P10" s="44"/>
      <c r="Q10" s="1"/>
      <c r="R10" s="40">
        <f t="shared" si="1"/>
        <v>60000</v>
      </c>
      <c r="S10" s="32" t="str">
        <f t="shared" si="0"/>
        <v>TRUE</v>
      </c>
      <c r="X10" s="50"/>
      <c r="Y10" s="50"/>
      <c r="Z10" s="50"/>
    </row>
    <row r="11" spans="1:27" s="27" customFormat="1" ht="38.25" x14ac:dyDescent="0.25">
      <c r="A11" s="162" t="s">
        <v>62</v>
      </c>
      <c r="B11" s="164" t="s">
        <v>63</v>
      </c>
      <c r="C11" s="52" t="s">
        <v>64</v>
      </c>
      <c r="D11" s="34" t="s">
        <v>59</v>
      </c>
      <c r="E11" s="52" t="s">
        <v>65</v>
      </c>
      <c r="F11" s="34" t="s">
        <v>66</v>
      </c>
      <c r="G11" s="35">
        <v>85000</v>
      </c>
      <c r="H11" s="36">
        <v>2</v>
      </c>
      <c r="I11" s="35">
        <f>H11*G11</f>
        <v>170000</v>
      </c>
      <c r="J11" s="35">
        <v>34200</v>
      </c>
      <c r="K11" s="35">
        <v>35000</v>
      </c>
      <c r="L11" s="35">
        <v>46000</v>
      </c>
      <c r="M11" s="35">
        <v>54800</v>
      </c>
      <c r="N11" s="35">
        <v>0</v>
      </c>
      <c r="O11" s="53" t="s">
        <v>67</v>
      </c>
      <c r="P11" s="21"/>
      <c r="Q11" s="11"/>
      <c r="R11" s="54">
        <f t="shared" si="1"/>
        <v>170000</v>
      </c>
      <c r="S11" s="32" t="str">
        <f t="shared" si="0"/>
        <v>TRUE</v>
      </c>
    </row>
    <row r="12" spans="1:27" s="27" customFormat="1" ht="51" x14ac:dyDescent="0.25">
      <c r="A12" s="163"/>
      <c r="B12" s="165"/>
      <c r="C12" s="52" t="s">
        <v>68</v>
      </c>
      <c r="D12" s="34" t="s">
        <v>59</v>
      </c>
      <c r="E12" s="52" t="s">
        <v>65</v>
      </c>
      <c r="F12" s="34" t="s">
        <v>66</v>
      </c>
      <c r="G12" s="35">
        <v>100000</v>
      </c>
      <c r="H12" s="36">
        <v>2</v>
      </c>
      <c r="I12" s="35">
        <v>200000</v>
      </c>
      <c r="J12" s="35">
        <v>24500</v>
      </c>
      <c r="K12" s="35">
        <v>37250</v>
      </c>
      <c r="L12" s="35">
        <v>56750</v>
      </c>
      <c r="M12" s="35">
        <v>46750</v>
      </c>
      <c r="N12" s="35">
        <v>34750</v>
      </c>
      <c r="O12" s="53" t="s">
        <v>69</v>
      </c>
      <c r="P12" s="21"/>
      <c r="Q12" s="11"/>
      <c r="R12" s="54">
        <f t="shared" si="1"/>
        <v>200000</v>
      </c>
      <c r="S12" s="32" t="str">
        <f t="shared" si="0"/>
        <v>TRUE</v>
      </c>
    </row>
    <row r="13" spans="1:27" s="27" customFormat="1" ht="51" x14ac:dyDescent="0.25">
      <c r="A13" s="163"/>
      <c r="B13" s="165"/>
      <c r="C13" s="52" t="s">
        <v>70</v>
      </c>
      <c r="D13" s="34" t="s">
        <v>59</v>
      </c>
      <c r="E13" s="52" t="s">
        <v>65</v>
      </c>
      <c r="F13" s="34" t="s">
        <v>66</v>
      </c>
      <c r="G13" s="35">
        <v>80000</v>
      </c>
      <c r="H13" s="36">
        <v>1</v>
      </c>
      <c r="I13" s="35">
        <v>80000</v>
      </c>
      <c r="J13" s="35">
        <v>19000</v>
      </c>
      <c r="K13" s="35">
        <v>19000</v>
      </c>
      <c r="L13" s="35">
        <v>19000</v>
      </c>
      <c r="M13" s="35">
        <v>12000</v>
      </c>
      <c r="N13" s="35">
        <v>11000</v>
      </c>
      <c r="O13" s="55" t="s">
        <v>71</v>
      </c>
      <c r="P13" s="56"/>
      <c r="Q13" s="11"/>
      <c r="R13" s="54">
        <f t="shared" si="1"/>
        <v>80000</v>
      </c>
      <c r="S13" s="32" t="str">
        <f t="shared" si="0"/>
        <v>TRUE</v>
      </c>
    </row>
    <row r="14" spans="1:27" s="27" customFormat="1" ht="51" x14ac:dyDescent="0.25">
      <c r="A14" s="163"/>
      <c r="B14" s="165"/>
      <c r="C14" s="52" t="s">
        <v>72</v>
      </c>
      <c r="D14" s="34" t="s">
        <v>59</v>
      </c>
      <c r="E14" s="52" t="s">
        <v>65</v>
      </c>
      <c r="F14" s="34" t="s">
        <v>66</v>
      </c>
      <c r="G14" s="35">
        <v>90000</v>
      </c>
      <c r="H14" s="36">
        <v>1</v>
      </c>
      <c r="I14" s="35">
        <v>90000</v>
      </c>
      <c r="J14" s="35">
        <v>19000</v>
      </c>
      <c r="K14" s="35">
        <v>19000</v>
      </c>
      <c r="L14" s="35">
        <v>19000</v>
      </c>
      <c r="M14" s="35">
        <v>19000</v>
      </c>
      <c r="N14" s="35">
        <v>14000</v>
      </c>
      <c r="O14" s="55" t="s">
        <v>73</v>
      </c>
      <c r="P14" s="56"/>
      <c r="Q14" s="11"/>
      <c r="R14" s="54">
        <f t="shared" si="1"/>
        <v>90000</v>
      </c>
      <c r="S14" s="32" t="str">
        <f t="shared" si="0"/>
        <v>TRUE</v>
      </c>
    </row>
    <row r="15" spans="1:27" s="27" customFormat="1" ht="51" x14ac:dyDescent="0.25">
      <c r="A15" s="163"/>
      <c r="B15" s="166"/>
      <c r="C15" s="52" t="s">
        <v>74</v>
      </c>
      <c r="D15" s="34" t="s">
        <v>59</v>
      </c>
      <c r="E15" s="52" t="s">
        <v>65</v>
      </c>
      <c r="F15" s="34" t="s">
        <v>66</v>
      </c>
      <c r="G15" s="35">
        <v>70000</v>
      </c>
      <c r="H15" s="36">
        <v>1</v>
      </c>
      <c r="I15" s="35">
        <v>70000</v>
      </c>
      <c r="J15" s="35">
        <v>20000</v>
      </c>
      <c r="K15" s="35">
        <v>20000</v>
      </c>
      <c r="L15" s="35">
        <v>10000</v>
      </c>
      <c r="M15" s="35">
        <v>10000</v>
      </c>
      <c r="N15" s="35">
        <v>10000</v>
      </c>
      <c r="O15" s="55" t="s">
        <v>75</v>
      </c>
      <c r="P15" s="56"/>
      <c r="Q15" s="11"/>
      <c r="R15" s="54">
        <f t="shared" si="1"/>
        <v>70000</v>
      </c>
      <c r="S15" s="32" t="str">
        <f t="shared" si="0"/>
        <v>TRUE</v>
      </c>
    </row>
    <row r="16" spans="1:27" s="27" customFormat="1" ht="51" customHeight="1" x14ac:dyDescent="0.25">
      <c r="A16" s="163"/>
      <c r="B16" s="151" t="s">
        <v>76</v>
      </c>
      <c r="C16" s="52" t="s">
        <v>77</v>
      </c>
      <c r="D16" s="34" t="s">
        <v>59</v>
      </c>
      <c r="E16" s="52" t="s">
        <v>65</v>
      </c>
      <c r="F16" s="34" t="s">
        <v>66</v>
      </c>
      <c r="G16" s="35">
        <v>75000</v>
      </c>
      <c r="H16" s="36">
        <v>2</v>
      </c>
      <c r="I16" s="37">
        <v>150000</v>
      </c>
      <c r="J16" s="35">
        <v>24500</v>
      </c>
      <c r="K16" s="35">
        <v>33000</v>
      </c>
      <c r="L16" s="35">
        <v>35000</v>
      </c>
      <c r="M16" s="35">
        <v>33000</v>
      </c>
      <c r="N16" s="35">
        <v>24500</v>
      </c>
      <c r="O16" s="55" t="s">
        <v>78</v>
      </c>
      <c r="P16" s="56"/>
      <c r="Q16" s="57"/>
      <c r="R16" s="54">
        <f t="shared" si="1"/>
        <v>150000</v>
      </c>
      <c r="S16" s="32" t="str">
        <f t="shared" si="0"/>
        <v>TRUE</v>
      </c>
    </row>
    <row r="17" spans="1:27" s="27" customFormat="1" ht="51" x14ac:dyDescent="0.25">
      <c r="A17" s="163"/>
      <c r="B17" s="154"/>
      <c r="C17" s="52" t="s">
        <v>79</v>
      </c>
      <c r="D17" s="34" t="s">
        <v>59</v>
      </c>
      <c r="E17" s="52" t="s">
        <v>65</v>
      </c>
      <c r="F17" s="34" t="s">
        <v>66</v>
      </c>
      <c r="G17" s="35">
        <v>47000</v>
      </c>
      <c r="H17" s="36">
        <v>1</v>
      </c>
      <c r="I17" s="35">
        <v>47000</v>
      </c>
      <c r="J17" s="35">
        <v>15000</v>
      </c>
      <c r="K17" s="35">
        <v>15000</v>
      </c>
      <c r="L17" s="35">
        <v>0</v>
      </c>
      <c r="M17" s="35">
        <v>17000</v>
      </c>
      <c r="N17" s="35">
        <v>0</v>
      </c>
      <c r="O17" s="53" t="s">
        <v>80</v>
      </c>
      <c r="P17" s="21"/>
      <c r="Q17" s="57"/>
      <c r="R17" s="54">
        <f t="shared" si="1"/>
        <v>47000</v>
      </c>
      <c r="S17" s="32" t="str">
        <f t="shared" si="0"/>
        <v>TRUE</v>
      </c>
    </row>
    <row r="18" spans="1:27" s="27" customFormat="1" ht="76.5" x14ac:dyDescent="0.25">
      <c r="A18" s="163"/>
      <c r="B18" s="154"/>
      <c r="C18" s="52" t="s">
        <v>81</v>
      </c>
      <c r="D18" s="34" t="s">
        <v>59</v>
      </c>
      <c r="E18" s="52" t="s">
        <v>82</v>
      </c>
      <c r="F18" s="34" t="s">
        <v>66</v>
      </c>
      <c r="G18" s="35">
        <v>156000</v>
      </c>
      <c r="H18" s="35">
        <v>1</v>
      </c>
      <c r="I18" s="35">
        <v>156000</v>
      </c>
      <c r="J18" s="35">
        <v>42000</v>
      </c>
      <c r="K18" s="35">
        <v>31000</v>
      </c>
      <c r="L18" s="35">
        <v>31000</v>
      </c>
      <c r="M18" s="35">
        <v>31000</v>
      </c>
      <c r="N18" s="35">
        <v>21000</v>
      </c>
      <c r="O18" s="53" t="s">
        <v>83</v>
      </c>
      <c r="P18" s="21"/>
      <c r="Q18" s="57"/>
      <c r="R18" s="54">
        <f t="shared" si="1"/>
        <v>156000</v>
      </c>
      <c r="S18" s="32" t="str">
        <f t="shared" si="0"/>
        <v>TRUE</v>
      </c>
    </row>
    <row r="19" spans="1:27" s="27" customFormat="1" ht="51" x14ac:dyDescent="0.25">
      <c r="A19" s="163"/>
      <c r="B19" s="154"/>
      <c r="C19" s="52" t="s">
        <v>84</v>
      </c>
      <c r="D19" s="34" t="s">
        <v>59</v>
      </c>
      <c r="E19" s="52" t="s">
        <v>85</v>
      </c>
      <c r="F19" s="34" t="s">
        <v>66</v>
      </c>
      <c r="G19" s="35">
        <v>85000</v>
      </c>
      <c r="H19" s="35">
        <v>1</v>
      </c>
      <c r="I19" s="35">
        <f>H19*G19</f>
        <v>85000</v>
      </c>
      <c r="J19" s="35">
        <v>25000</v>
      </c>
      <c r="K19" s="35">
        <v>20000</v>
      </c>
      <c r="L19" s="35">
        <v>20000</v>
      </c>
      <c r="M19" s="35">
        <v>20000</v>
      </c>
      <c r="N19" s="35">
        <v>0</v>
      </c>
      <c r="O19" s="53" t="s">
        <v>86</v>
      </c>
      <c r="P19" s="21"/>
      <c r="Q19" s="57"/>
      <c r="R19" s="54">
        <f t="shared" si="1"/>
        <v>85000</v>
      </c>
      <c r="S19" s="32" t="str">
        <f t="shared" si="0"/>
        <v>TRUE</v>
      </c>
    </row>
    <row r="20" spans="1:27" s="27" customFormat="1" ht="51" x14ac:dyDescent="0.25">
      <c r="A20" s="163"/>
      <c r="B20" s="152"/>
      <c r="C20" s="52" t="s">
        <v>87</v>
      </c>
      <c r="D20" s="34" t="s">
        <v>59</v>
      </c>
      <c r="E20" s="52" t="s">
        <v>65</v>
      </c>
      <c r="F20" s="34" t="s">
        <v>66</v>
      </c>
      <c r="G20" s="35">
        <v>25000</v>
      </c>
      <c r="H20" s="35">
        <v>5</v>
      </c>
      <c r="I20" s="35">
        <v>100000</v>
      </c>
      <c r="J20" s="35">
        <v>20000</v>
      </c>
      <c r="K20" s="35">
        <v>20000</v>
      </c>
      <c r="L20" s="35">
        <v>20000</v>
      </c>
      <c r="M20" s="35">
        <v>20000</v>
      </c>
      <c r="N20" s="35">
        <v>20000</v>
      </c>
      <c r="O20" s="53" t="s">
        <v>88</v>
      </c>
      <c r="P20" s="21"/>
      <c r="Q20" s="11"/>
      <c r="R20" s="54">
        <f t="shared" si="1"/>
        <v>100000</v>
      </c>
      <c r="S20" s="32" t="str">
        <f t="shared" si="0"/>
        <v>TRUE</v>
      </c>
    </row>
    <row r="21" spans="1:27" s="27" customFormat="1" ht="38.25" customHeight="1" x14ac:dyDescent="0.25">
      <c r="A21" s="163"/>
      <c r="B21" s="151" t="s">
        <v>89</v>
      </c>
      <c r="C21" s="52" t="s">
        <v>90</v>
      </c>
      <c r="D21" s="34" t="s">
        <v>59</v>
      </c>
      <c r="E21" s="52" t="s">
        <v>91</v>
      </c>
      <c r="F21" s="34" t="s">
        <v>92</v>
      </c>
      <c r="G21" s="35">
        <v>20000</v>
      </c>
      <c r="H21" s="36">
        <v>5</v>
      </c>
      <c r="I21" s="35">
        <v>100000</v>
      </c>
      <c r="J21" s="35">
        <v>20000</v>
      </c>
      <c r="K21" s="35">
        <v>20000</v>
      </c>
      <c r="L21" s="35">
        <v>20000</v>
      </c>
      <c r="M21" s="35">
        <v>20000</v>
      </c>
      <c r="N21" s="35">
        <v>20000</v>
      </c>
      <c r="O21" s="53" t="s">
        <v>93</v>
      </c>
      <c r="P21" s="21"/>
      <c r="Q21" s="11"/>
      <c r="R21" s="54">
        <f t="shared" si="1"/>
        <v>100000</v>
      </c>
      <c r="S21" s="32" t="str">
        <f t="shared" si="0"/>
        <v>TRUE</v>
      </c>
    </row>
    <row r="22" spans="1:27" s="27" customFormat="1" ht="51" x14ac:dyDescent="0.25">
      <c r="A22" s="163"/>
      <c r="B22" s="154"/>
      <c r="C22" s="52" t="s">
        <v>94</v>
      </c>
      <c r="D22" s="34" t="s">
        <v>59</v>
      </c>
      <c r="E22" s="52" t="s">
        <v>95</v>
      </c>
      <c r="F22" s="34" t="s">
        <v>96</v>
      </c>
      <c r="G22" s="35">
        <v>30000</v>
      </c>
      <c r="H22" s="36">
        <v>3</v>
      </c>
      <c r="I22" s="35">
        <f t="shared" ref="I22:I31" si="2">H22*G22</f>
        <v>90000</v>
      </c>
      <c r="J22" s="35">
        <v>30000</v>
      </c>
      <c r="K22" s="35">
        <v>0</v>
      </c>
      <c r="L22" s="35">
        <v>30000</v>
      </c>
      <c r="M22" s="35">
        <v>0</v>
      </c>
      <c r="N22" s="35">
        <v>30000</v>
      </c>
      <c r="O22" s="53" t="s">
        <v>97</v>
      </c>
      <c r="P22" s="21"/>
      <c r="Q22" s="11"/>
      <c r="R22" s="54">
        <f t="shared" si="1"/>
        <v>90000</v>
      </c>
      <c r="S22" s="32" t="str">
        <f t="shared" si="0"/>
        <v>TRUE</v>
      </c>
    </row>
    <row r="23" spans="1:27" s="27" customFormat="1" ht="25.5" x14ac:dyDescent="0.25">
      <c r="A23" s="163"/>
      <c r="B23" s="154"/>
      <c r="C23" s="52" t="s">
        <v>98</v>
      </c>
      <c r="D23" s="34" t="s">
        <v>59</v>
      </c>
      <c r="E23" s="52" t="s">
        <v>99</v>
      </c>
      <c r="F23" s="34" t="s">
        <v>100</v>
      </c>
      <c r="G23" s="35">
        <v>29600</v>
      </c>
      <c r="H23" s="35">
        <v>5</v>
      </c>
      <c r="I23" s="35">
        <v>173000</v>
      </c>
      <c r="J23" s="35">
        <v>35000</v>
      </c>
      <c r="K23" s="35">
        <v>30000</v>
      </c>
      <c r="L23" s="35">
        <v>39000</v>
      </c>
      <c r="M23" s="35">
        <v>30000</v>
      </c>
      <c r="N23" s="35">
        <v>39000</v>
      </c>
      <c r="O23" s="53" t="s">
        <v>101</v>
      </c>
      <c r="P23" s="21"/>
      <c r="Q23" s="11"/>
      <c r="R23" s="54">
        <f t="shared" si="1"/>
        <v>173000</v>
      </c>
      <c r="S23" s="32" t="str">
        <f t="shared" si="0"/>
        <v>TRUE</v>
      </c>
    </row>
    <row r="24" spans="1:27" s="27" customFormat="1" ht="76.5" x14ac:dyDescent="0.25">
      <c r="A24" s="163"/>
      <c r="B24" s="152"/>
      <c r="C24" s="52" t="s">
        <v>102</v>
      </c>
      <c r="D24" s="34" t="s">
        <v>59</v>
      </c>
      <c r="E24" s="52" t="s">
        <v>103</v>
      </c>
      <c r="F24" s="34" t="s">
        <v>66</v>
      </c>
      <c r="G24" s="35">
        <v>45500</v>
      </c>
      <c r="H24" s="36">
        <v>5</v>
      </c>
      <c r="I24" s="35">
        <v>227500</v>
      </c>
      <c r="J24" s="35">
        <f>20%*$I$24</f>
        <v>45500</v>
      </c>
      <c r="K24" s="35">
        <f>20%*$I$24</f>
        <v>45500</v>
      </c>
      <c r="L24" s="35">
        <f>20%*$I$24</f>
        <v>45500</v>
      </c>
      <c r="M24" s="35">
        <f>20%*$I$24</f>
        <v>45500</v>
      </c>
      <c r="N24" s="35">
        <f>20%*$I$24</f>
        <v>45500</v>
      </c>
      <c r="O24" s="53" t="s">
        <v>104</v>
      </c>
      <c r="P24" s="21"/>
      <c r="Q24" s="11"/>
      <c r="R24" s="54">
        <f t="shared" si="1"/>
        <v>227500</v>
      </c>
      <c r="S24" s="32" t="str">
        <f t="shared" si="0"/>
        <v>TRUE</v>
      </c>
    </row>
    <row r="25" spans="1:27" s="27" customFormat="1" ht="38.25" customHeight="1" x14ac:dyDescent="0.25">
      <c r="A25" s="163"/>
      <c r="B25" s="151" t="s">
        <v>105</v>
      </c>
      <c r="C25" s="52" t="s">
        <v>106</v>
      </c>
      <c r="D25" s="34" t="s">
        <v>59</v>
      </c>
      <c r="E25" s="52" t="s">
        <v>107</v>
      </c>
      <c r="F25" s="34" t="s">
        <v>66</v>
      </c>
      <c r="G25" s="35">
        <v>50000</v>
      </c>
      <c r="H25" s="35">
        <v>1</v>
      </c>
      <c r="I25" s="35">
        <f t="shared" si="2"/>
        <v>50000</v>
      </c>
      <c r="J25" s="35">
        <v>10000</v>
      </c>
      <c r="K25" s="35">
        <v>19000</v>
      </c>
      <c r="L25" s="35">
        <v>10000</v>
      </c>
      <c r="M25" s="35">
        <v>11000</v>
      </c>
      <c r="N25" s="35">
        <v>0</v>
      </c>
      <c r="O25" s="53" t="s">
        <v>108</v>
      </c>
      <c r="P25" s="21"/>
      <c r="Q25" s="11"/>
      <c r="R25" s="54">
        <f t="shared" si="1"/>
        <v>50000</v>
      </c>
      <c r="S25" s="32" t="str">
        <f t="shared" si="0"/>
        <v>TRUE</v>
      </c>
    </row>
    <row r="26" spans="1:27" s="27" customFormat="1" ht="89.25" x14ac:dyDescent="0.25">
      <c r="A26" s="163"/>
      <c r="B26" s="154"/>
      <c r="C26" s="52" t="s">
        <v>109</v>
      </c>
      <c r="D26" s="34" t="s">
        <v>59</v>
      </c>
      <c r="E26" s="52" t="s">
        <v>107</v>
      </c>
      <c r="F26" s="34" t="s">
        <v>66</v>
      </c>
      <c r="G26" s="35">
        <v>40000</v>
      </c>
      <c r="H26" s="35">
        <v>1</v>
      </c>
      <c r="I26" s="35">
        <f t="shared" si="2"/>
        <v>40000</v>
      </c>
      <c r="J26" s="35">
        <v>10000</v>
      </c>
      <c r="K26" s="35">
        <v>20000</v>
      </c>
      <c r="L26" s="35">
        <v>10000</v>
      </c>
      <c r="M26" s="35">
        <v>0</v>
      </c>
      <c r="N26" s="35">
        <v>0</v>
      </c>
      <c r="O26" s="53" t="s">
        <v>110</v>
      </c>
      <c r="P26" s="21"/>
      <c r="Q26" s="11"/>
      <c r="R26" s="54">
        <f t="shared" si="1"/>
        <v>40000</v>
      </c>
      <c r="S26" s="32" t="str">
        <f t="shared" si="0"/>
        <v>TRUE</v>
      </c>
    </row>
    <row r="27" spans="1:27" s="27" customFormat="1" ht="63.75" x14ac:dyDescent="0.25">
      <c r="A27" s="163"/>
      <c r="B27" s="154"/>
      <c r="C27" s="52" t="s">
        <v>111</v>
      </c>
      <c r="D27" s="34" t="s">
        <v>59</v>
      </c>
      <c r="E27" s="52" t="s">
        <v>107</v>
      </c>
      <c r="F27" s="34" t="s">
        <v>66</v>
      </c>
      <c r="G27" s="35">
        <v>20000</v>
      </c>
      <c r="H27" s="35">
        <v>5</v>
      </c>
      <c r="I27" s="35">
        <v>100000</v>
      </c>
      <c r="J27" s="35">
        <v>20000</v>
      </c>
      <c r="K27" s="35">
        <v>20000</v>
      </c>
      <c r="L27" s="35">
        <v>20000</v>
      </c>
      <c r="M27" s="35">
        <v>20000</v>
      </c>
      <c r="N27" s="35">
        <v>20000</v>
      </c>
      <c r="O27" s="53" t="s">
        <v>112</v>
      </c>
      <c r="P27" s="21"/>
      <c r="Q27" s="11"/>
      <c r="R27" s="54">
        <f t="shared" si="1"/>
        <v>100000</v>
      </c>
      <c r="S27" s="32" t="str">
        <f t="shared" si="0"/>
        <v>TRUE</v>
      </c>
    </row>
    <row r="28" spans="1:27" s="27" customFormat="1" ht="76.5" x14ac:dyDescent="0.25">
      <c r="A28" s="163"/>
      <c r="B28" s="152"/>
      <c r="C28" s="52" t="s">
        <v>113</v>
      </c>
      <c r="D28" s="34" t="s">
        <v>59</v>
      </c>
      <c r="E28" s="52" t="s">
        <v>114</v>
      </c>
      <c r="F28" s="34" t="s">
        <v>66</v>
      </c>
      <c r="G28" s="35">
        <v>50000</v>
      </c>
      <c r="H28" s="35">
        <v>1</v>
      </c>
      <c r="I28" s="35">
        <f>H28*G28</f>
        <v>50000</v>
      </c>
      <c r="J28" s="35">
        <v>20000</v>
      </c>
      <c r="K28" s="35">
        <v>0</v>
      </c>
      <c r="L28" s="35">
        <v>20000</v>
      </c>
      <c r="M28" s="35">
        <v>10000</v>
      </c>
      <c r="N28" s="35">
        <v>0</v>
      </c>
      <c r="O28" s="53" t="s">
        <v>115</v>
      </c>
      <c r="P28" s="21"/>
      <c r="Q28" s="1">
        <f>SUM(I11:I28)</f>
        <v>1978500</v>
      </c>
      <c r="R28" s="54">
        <f t="shared" si="1"/>
        <v>50000</v>
      </c>
      <c r="S28" s="32" t="str">
        <f t="shared" si="0"/>
        <v>TRUE</v>
      </c>
    </row>
    <row r="29" spans="1:27" s="27" customFormat="1" ht="38.25" x14ac:dyDescent="0.25">
      <c r="A29" s="177" t="s">
        <v>116</v>
      </c>
      <c r="B29" s="172" t="s">
        <v>117</v>
      </c>
      <c r="C29" s="52" t="s">
        <v>118</v>
      </c>
      <c r="D29" s="34" t="s">
        <v>59</v>
      </c>
      <c r="E29" s="52" t="s">
        <v>119</v>
      </c>
      <c r="F29" s="34" t="s">
        <v>120</v>
      </c>
      <c r="G29" s="35">
        <v>30000</v>
      </c>
      <c r="H29" s="35">
        <v>5</v>
      </c>
      <c r="I29" s="35">
        <f t="shared" si="2"/>
        <v>150000</v>
      </c>
      <c r="J29" s="35">
        <v>30000</v>
      </c>
      <c r="K29" s="35">
        <v>30000</v>
      </c>
      <c r="L29" s="35">
        <v>30000</v>
      </c>
      <c r="M29" s="35">
        <v>30000</v>
      </c>
      <c r="N29" s="35">
        <v>30000</v>
      </c>
      <c r="O29" s="53" t="s">
        <v>121</v>
      </c>
      <c r="P29" s="21"/>
      <c r="Q29" s="11"/>
      <c r="R29" s="54">
        <f t="shared" si="1"/>
        <v>150000</v>
      </c>
      <c r="S29" s="32" t="str">
        <f t="shared" si="0"/>
        <v>TRUE</v>
      </c>
      <c r="V29" s="41"/>
      <c r="W29" s="41"/>
      <c r="X29" s="41"/>
      <c r="Y29" s="41"/>
      <c r="Z29" s="41"/>
      <c r="AA29" s="21"/>
    </row>
    <row r="30" spans="1:27" s="27" customFormat="1" ht="38.25" x14ac:dyDescent="0.25">
      <c r="A30" s="177"/>
      <c r="B30" s="173"/>
      <c r="C30" s="52" t="s">
        <v>122</v>
      </c>
      <c r="D30" s="34" t="s">
        <v>123</v>
      </c>
      <c r="E30" s="52" t="s">
        <v>119</v>
      </c>
      <c r="F30" s="34" t="s">
        <v>120</v>
      </c>
      <c r="G30" s="35">
        <v>125000</v>
      </c>
      <c r="H30" s="35">
        <v>1</v>
      </c>
      <c r="I30" s="35">
        <v>125000</v>
      </c>
      <c r="J30" s="35">
        <v>30000</v>
      </c>
      <c r="K30" s="35">
        <v>30000</v>
      </c>
      <c r="L30" s="35">
        <v>15000</v>
      </c>
      <c r="M30" s="35">
        <v>30000</v>
      </c>
      <c r="N30" s="35">
        <v>20000</v>
      </c>
      <c r="O30" s="53" t="s">
        <v>124</v>
      </c>
      <c r="P30" s="21"/>
      <c r="Q30" s="1"/>
      <c r="R30" s="54">
        <f t="shared" si="1"/>
        <v>125000</v>
      </c>
      <c r="S30" s="32" t="str">
        <f t="shared" si="0"/>
        <v>TRUE</v>
      </c>
      <c r="V30" s="21"/>
      <c r="W30" s="21"/>
      <c r="X30" s="21"/>
      <c r="Y30" s="21"/>
      <c r="Z30" s="21"/>
      <c r="AA30" s="21"/>
    </row>
    <row r="31" spans="1:27" s="27" customFormat="1" ht="39" thickBot="1" x14ac:dyDescent="0.3">
      <c r="A31" s="177"/>
      <c r="B31" s="173"/>
      <c r="C31" s="52" t="s">
        <v>125</v>
      </c>
      <c r="D31" s="34" t="s">
        <v>59</v>
      </c>
      <c r="E31" s="52" t="s">
        <v>119</v>
      </c>
      <c r="F31" s="34" t="s">
        <v>120</v>
      </c>
      <c r="G31" s="35">
        <v>20000</v>
      </c>
      <c r="H31" s="35">
        <v>5</v>
      </c>
      <c r="I31" s="35">
        <f t="shared" si="2"/>
        <v>100000</v>
      </c>
      <c r="J31" s="35">
        <v>20000</v>
      </c>
      <c r="K31" s="35">
        <v>20000</v>
      </c>
      <c r="L31" s="35">
        <v>20000</v>
      </c>
      <c r="M31" s="35">
        <v>20000</v>
      </c>
      <c r="N31" s="35">
        <v>20000</v>
      </c>
      <c r="O31" s="53" t="s">
        <v>126</v>
      </c>
      <c r="P31" s="21"/>
      <c r="Q31" s="1"/>
      <c r="R31" s="54">
        <f t="shared" si="1"/>
        <v>100000</v>
      </c>
      <c r="S31" s="32" t="str">
        <f t="shared" si="0"/>
        <v>TRUE</v>
      </c>
      <c r="V31" s="58"/>
      <c r="W31" s="21"/>
      <c r="X31" s="21"/>
      <c r="Y31" s="21"/>
      <c r="Z31" s="21"/>
      <c r="AA31" s="21"/>
    </row>
    <row r="32" spans="1:27" s="27" customFormat="1" ht="51.75" thickBot="1" x14ac:dyDescent="0.3">
      <c r="A32" s="177"/>
      <c r="B32" s="174"/>
      <c r="C32" s="52" t="s">
        <v>127</v>
      </c>
      <c r="D32" s="34" t="s">
        <v>59</v>
      </c>
      <c r="E32" s="52" t="s">
        <v>119</v>
      </c>
      <c r="F32" s="34" t="s">
        <v>66</v>
      </c>
      <c r="G32" s="35">
        <v>20000</v>
      </c>
      <c r="H32" s="36">
        <v>1</v>
      </c>
      <c r="I32" s="35">
        <v>20000</v>
      </c>
      <c r="J32" s="35">
        <v>10000</v>
      </c>
      <c r="K32" s="35">
        <v>5000</v>
      </c>
      <c r="L32" s="35">
        <v>0</v>
      </c>
      <c r="M32" s="35">
        <v>5000</v>
      </c>
      <c r="N32" s="35">
        <v>0</v>
      </c>
      <c r="O32" s="55" t="s">
        <v>128</v>
      </c>
      <c r="P32" s="56"/>
      <c r="Q32" s="1"/>
      <c r="R32" s="54">
        <f t="shared" si="1"/>
        <v>20000</v>
      </c>
      <c r="S32" s="32" t="str">
        <f t="shared" si="0"/>
        <v>TRUE</v>
      </c>
      <c r="V32" s="169" t="s">
        <v>129</v>
      </c>
      <c r="W32" s="170"/>
      <c r="X32" s="171"/>
      <c r="Z32" s="27" t="s">
        <v>130</v>
      </c>
    </row>
    <row r="33" spans="1:28" s="27" customFormat="1" ht="76.5" x14ac:dyDescent="0.25">
      <c r="A33" s="177"/>
      <c r="B33" s="59" t="s">
        <v>131</v>
      </c>
      <c r="C33" s="52" t="s">
        <v>132</v>
      </c>
      <c r="D33" s="34" t="s">
        <v>59</v>
      </c>
      <c r="E33" s="52" t="s">
        <v>65</v>
      </c>
      <c r="F33" s="34" t="s">
        <v>66</v>
      </c>
      <c r="G33" s="35">
        <v>120000</v>
      </c>
      <c r="H33" s="35">
        <v>1</v>
      </c>
      <c r="I33" s="35">
        <v>120071</v>
      </c>
      <c r="J33" s="35">
        <v>22500</v>
      </c>
      <c r="K33" s="35">
        <v>25000</v>
      </c>
      <c r="L33" s="35">
        <v>25000</v>
      </c>
      <c r="M33" s="35">
        <v>22500</v>
      </c>
      <c r="N33" s="35">
        <v>25071</v>
      </c>
      <c r="O33" s="53" t="s">
        <v>133</v>
      </c>
      <c r="P33" s="21"/>
      <c r="Q33" s="1">
        <f>SUM(I29:I33)</f>
        <v>515071</v>
      </c>
      <c r="R33" s="54">
        <f t="shared" si="1"/>
        <v>120071</v>
      </c>
      <c r="S33" s="32" t="str">
        <f t="shared" si="0"/>
        <v>TRUE</v>
      </c>
      <c r="V33" s="28" t="s">
        <v>134</v>
      </c>
      <c r="W33" s="33"/>
      <c r="X33" s="60">
        <v>0.05</v>
      </c>
    </row>
    <row r="34" spans="1:28" s="27" customFormat="1" ht="25.5" customHeight="1" x14ac:dyDescent="0.25">
      <c r="A34" s="148" t="s">
        <v>135</v>
      </c>
      <c r="B34" s="172" t="s">
        <v>136</v>
      </c>
      <c r="C34" s="172" t="s">
        <v>137</v>
      </c>
      <c r="D34" s="151" t="s">
        <v>59</v>
      </c>
      <c r="E34" s="151" t="s">
        <v>138</v>
      </c>
      <c r="F34" s="151" t="s">
        <v>139</v>
      </c>
      <c r="G34" s="160">
        <v>2125</v>
      </c>
      <c r="H34" s="160">
        <v>60</v>
      </c>
      <c r="I34" s="175">
        <v>121429</v>
      </c>
      <c r="J34" s="160">
        <f>20%*$I$34</f>
        <v>24285.800000000003</v>
      </c>
      <c r="K34" s="160">
        <f>20%*$I$34</f>
        <v>24285.800000000003</v>
      </c>
      <c r="L34" s="160">
        <f>20%*$I$34</f>
        <v>24285.800000000003</v>
      </c>
      <c r="M34" s="160">
        <f>20%*$I$34</f>
        <v>24285.800000000003</v>
      </c>
      <c r="N34" s="160">
        <f>20%*$I$34</f>
        <v>24285.800000000003</v>
      </c>
      <c r="O34" s="167" t="s">
        <v>140</v>
      </c>
      <c r="P34" s="61"/>
      <c r="Q34" s="11"/>
      <c r="R34" s="54">
        <f>SUM(J34:N35)</f>
        <v>121429.00000000001</v>
      </c>
      <c r="S34" s="32" t="str">
        <f t="shared" si="0"/>
        <v>TRUE</v>
      </c>
      <c r="U34" s="58"/>
      <c r="V34" s="31" t="s">
        <v>141</v>
      </c>
      <c r="W34" s="21"/>
      <c r="X34" s="62">
        <f>2428571/100*5</f>
        <v>121428.54999999999</v>
      </c>
      <c r="Y34" s="21"/>
      <c r="Z34" s="21"/>
      <c r="AA34" s="21"/>
      <c r="AB34" s="21"/>
    </row>
    <row r="35" spans="1:28" s="27" customFormat="1" ht="18" customHeight="1" x14ac:dyDescent="0.25">
      <c r="A35" s="149"/>
      <c r="B35" s="173"/>
      <c r="C35" s="173"/>
      <c r="D35" s="152"/>
      <c r="E35" s="152"/>
      <c r="F35" s="152"/>
      <c r="G35" s="161"/>
      <c r="H35" s="161"/>
      <c r="I35" s="176"/>
      <c r="J35" s="161"/>
      <c r="K35" s="161"/>
      <c r="L35" s="161"/>
      <c r="M35" s="161"/>
      <c r="N35" s="161"/>
      <c r="O35" s="168"/>
      <c r="P35" s="61"/>
      <c r="Q35" s="11"/>
      <c r="R35" s="54"/>
      <c r="S35" s="32"/>
      <c r="U35" s="58"/>
      <c r="V35" s="31"/>
      <c r="W35" s="21"/>
      <c r="X35" s="62"/>
      <c r="Y35" s="21"/>
      <c r="Z35" s="21"/>
      <c r="AA35" s="21"/>
      <c r="AB35" s="21"/>
    </row>
    <row r="36" spans="1:28" s="27" customFormat="1" ht="63.75" x14ac:dyDescent="0.25">
      <c r="A36" s="149"/>
      <c r="B36" s="174"/>
      <c r="C36" s="174"/>
      <c r="D36" s="34" t="s">
        <v>123</v>
      </c>
      <c r="E36" s="52" t="s">
        <v>142</v>
      </c>
      <c r="F36" s="34" t="s">
        <v>139</v>
      </c>
      <c r="G36" s="35">
        <v>2500</v>
      </c>
      <c r="H36" s="35">
        <v>60</v>
      </c>
      <c r="I36" s="35">
        <v>150000</v>
      </c>
      <c r="J36" s="35">
        <v>30000</v>
      </c>
      <c r="K36" s="35">
        <v>30000</v>
      </c>
      <c r="L36" s="35">
        <v>30000</v>
      </c>
      <c r="M36" s="35">
        <v>30000</v>
      </c>
      <c r="N36" s="35">
        <v>30000</v>
      </c>
      <c r="O36" s="53" t="s">
        <v>143</v>
      </c>
      <c r="P36" s="21"/>
      <c r="Q36" s="1"/>
      <c r="R36" s="54">
        <f t="shared" si="1"/>
        <v>150000</v>
      </c>
      <c r="S36" s="32" t="str">
        <f t="shared" si="0"/>
        <v>TRUE</v>
      </c>
      <c r="V36" s="63" t="s">
        <v>144</v>
      </c>
      <c r="W36" s="21"/>
      <c r="X36" s="64">
        <f>SUM(I34:I37)</f>
        <v>421429</v>
      </c>
    </row>
    <row r="37" spans="1:28" s="27" customFormat="1" ht="157.5" x14ac:dyDescent="0.25">
      <c r="A37" s="150"/>
      <c r="B37" s="65" t="s">
        <v>145</v>
      </c>
      <c r="C37" s="65" t="s">
        <v>145</v>
      </c>
      <c r="D37" s="34" t="s">
        <v>123</v>
      </c>
      <c r="E37" s="52" t="s">
        <v>146</v>
      </c>
      <c r="F37" s="34" t="s">
        <v>139</v>
      </c>
      <c r="G37" s="35">
        <f>20%*$I$37</f>
        <v>30000</v>
      </c>
      <c r="H37" s="35">
        <v>5</v>
      </c>
      <c r="I37" s="35">
        <v>150000</v>
      </c>
      <c r="J37" s="35">
        <v>36000</v>
      </c>
      <c r="K37" s="35">
        <v>26000</v>
      </c>
      <c r="L37" s="35">
        <v>36000</v>
      </c>
      <c r="M37" s="35">
        <v>26000</v>
      </c>
      <c r="N37" s="35">
        <v>26000</v>
      </c>
      <c r="O37" s="66" t="s">
        <v>147</v>
      </c>
      <c r="P37" s="67" t="s">
        <v>148</v>
      </c>
      <c r="Q37" s="1">
        <f>SUM(I34:I37)</f>
        <v>421429</v>
      </c>
      <c r="R37" s="54">
        <f t="shared" si="1"/>
        <v>150000</v>
      </c>
      <c r="S37" s="32" t="str">
        <f t="shared" si="0"/>
        <v>TRUE</v>
      </c>
      <c r="V37" s="31" t="s">
        <v>149</v>
      </c>
      <c r="W37" s="21"/>
      <c r="X37" s="68">
        <v>121429</v>
      </c>
    </row>
    <row r="38" spans="1:28" s="27" customFormat="1" ht="54" customHeight="1" thickBot="1" x14ac:dyDescent="0.3">
      <c r="A38" s="69" t="s">
        <v>150</v>
      </c>
      <c r="B38" s="70"/>
      <c r="C38" s="70"/>
      <c r="D38" s="70"/>
      <c r="E38" s="70"/>
      <c r="F38" s="70"/>
      <c r="G38" s="71"/>
      <c r="H38" s="71"/>
      <c r="I38" s="72">
        <f t="shared" ref="I38:N38" si="3">SUM(I6:I37)</f>
        <v>11475000</v>
      </c>
      <c r="J38" s="72">
        <f t="shared" si="3"/>
        <v>2136485.7999999998</v>
      </c>
      <c r="K38" s="72">
        <f t="shared" si="3"/>
        <v>2314035.7999999998</v>
      </c>
      <c r="L38" s="72">
        <f t="shared" si="3"/>
        <v>2431535.7999999998</v>
      </c>
      <c r="M38" s="72">
        <f t="shared" si="3"/>
        <v>2367835.7999999998</v>
      </c>
      <c r="N38" s="72">
        <f t="shared" si="3"/>
        <v>2225106.7999999998</v>
      </c>
      <c r="O38" s="73"/>
      <c r="P38" s="21"/>
      <c r="R38" s="74">
        <f>SUM(R6:R37)</f>
        <v>11475000</v>
      </c>
      <c r="S38" s="75" t="str">
        <f>IF(I38=R38,"TRUE","FALSE")</f>
        <v>TRUE</v>
      </c>
      <c r="V38" s="45" t="s">
        <v>151</v>
      </c>
      <c r="W38" s="47"/>
      <c r="X38" s="76">
        <f>X37/X36</f>
        <v>0.28813631714950799</v>
      </c>
    </row>
    <row r="39" spans="1:28" s="27" customFormat="1" ht="14.25" x14ac:dyDescent="0.2">
      <c r="A39" s="77"/>
      <c r="B39" s="71"/>
      <c r="C39" s="71"/>
      <c r="D39" s="71"/>
      <c r="E39" s="71"/>
      <c r="F39" s="71"/>
      <c r="G39" s="71"/>
      <c r="H39" s="71"/>
      <c r="I39" s="78"/>
      <c r="J39" s="71"/>
      <c r="K39" s="71"/>
      <c r="L39" s="71"/>
      <c r="M39" s="71"/>
      <c r="N39" s="71"/>
      <c r="O39" s="71"/>
      <c r="P39" s="79"/>
    </row>
    <row r="40" spans="1:28" s="27" customFormat="1" ht="15.75" x14ac:dyDescent="0.25">
      <c r="A40" s="80" t="s">
        <v>152</v>
      </c>
    </row>
    <row r="41" spans="1:28" s="27" customFormat="1" ht="14.25" x14ac:dyDescent="0.2">
      <c r="A41" s="81" t="s">
        <v>153</v>
      </c>
      <c r="B41" s="81"/>
      <c r="C41" s="81"/>
      <c r="D41" s="81"/>
      <c r="E41" s="81"/>
      <c r="F41" s="81"/>
      <c r="G41" s="81"/>
      <c r="H41" s="81"/>
      <c r="I41" s="82">
        <f t="shared" ref="I41:N41" si="4">SUM(I34,I33,I32,I31,I29,I14,I28,I27,I26,I25,I24,I23,I22,I21,I20,I19,I18,I17,I16,I15,I13,I12,I11,I9,I7,I10)</f>
        <v>8500000</v>
      </c>
      <c r="J41" s="82">
        <f t="shared" si="4"/>
        <v>1690485.8</v>
      </c>
      <c r="K41" s="82">
        <f t="shared" si="4"/>
        <v>1688035.8</v>
      </c>
      <c r="L41" s="82">
        <f t="shared" si="4"/>
        <v>1750535.8</v>
      </c>
      <c r="M41" s="82">
        <f t="shared" si="4"/>
        <v>1681835.8</v>
      </c>
      <c r="N41" s="82">
        <f t="shared" si="4"/>
        <v>1689106.8</v>
      </c>
      <c r="O41" s="83"/>
      <c r="P41" s="84"/>
    </row>
    <row r="42" spans="1:28" s="27" customFormat="1" ht="14.25" x14ac:dyDescent="0.2">
      <c r="A42" s="81" t="s">
        <v>154</v>
      </c>
      <c r="B42" s="81"/>
      <c r="C42" s="81"/>
      <c r="D42" s="81"/>
      <c r="E42" s="81"/>
      <c r="F42" s="81"/>
      <c r="G42" s="81"/>
      <c r="H42" s="81"/>
      <c r="I42" s="82">
        <f t="shared" ref="I42:N42" si="5">SUM(I36,I30,I6,I37)</f>
        <v>2125000</v>
      </c>
      <c r="J42" s="82">
        <f t="shared" si="5"/>
        <v>336000</v>
      </c>
      <c r="K42" s="82">
        <f t="shared" si="5"/>
        <v>426000</v>
      </c>
      <c r="L42" s="82">
        <f t="shared" si="5"/>
        <v>471000</v>
      </c>
      <c r="M42" s="82">
        <f t="shared" si="5"/>
        <v>476000</v>
      </c>
      <c r="N42" s="82">
        <f t="shared" si="5"/>
        <v>416000</v>
      </c>
      <c r="O42" s="83"/>
      <c r="P42" s="84"/>
      <c r="Q42" s="27" t="s">
        <v>155</v>
      </c>
    </row>
    <row r="43" spans="1:28" s="27" customFormat="1" x14ac:dyDescent="0.25">
      <c r="A43" s="81" t="s">
        <v>156</v>
      </c>
      <c r="B43" s="81"/>
      <c r="C43" s="81"/>
      <c r="D43" s="81"/>
      <c r="E43" s="81"/>
      <c r="F43" s="81"/>
      <c r="G43" s="81"/>
      <c r="H43" s="81"/>
      <c r="I43" s="82">
        <f t="shared" ref="I43:N43" si="6">SUM(I8)</f>
        <v>850000</v>
      </c>
      <c r="J43" s="82">
        <f t="shared" si="6"/>
        <v>110000</v>
      </c>
      <c r="K43" s="82">
        <f t="shared" si="6"/>
        <v>200000</v>
      </c>
      <c r="L43" s="82">
        <f t="shared" si="6"/>
        <v>210000</v>
      </c>
      <c r="M43" s="82">
        <f t="shared" si="6"/>
        <v>210000</v>
      </c>
      <c r="N43" s="82">
        <f t="shared" si="6"/>
        <v>120000</v>
      </c>
      <c r="O43" s="83"/>
      <c r="P43" s="83"/>
      <c r="Q43" s="85">
        <f>SUM(Q9:Q38)</f>
        <v>11475000</v>
      </c>
    </row>
    <row r="44" spans="1:28" s="27" customFormat="1" ht="14.25" x14ac:dyDescent="0.2">
      <c r="I44" s="86"/>
      <c r="R44" s="50"/>
    </row>
    <row r="45" spans="1:28" ht="63" customHeight="1" x14ac:dyDescent="0.25">
      <c r="H45" s="7" t="s">
        <v>157</v>
      </c>
      <c r="I45" s="1">
        <f t="shared" ref="I45:N45" si="7">SUM(I41:I43)</f>
        <v>11475000</v>
      </c>
      <c r="J45" s="1">
        <f t="shared" si="7"/>
        <v>2136485.7999999998</v>
      </c>
      <c r="K45" s="1">
        <f t="shared" si="7"/>
        <v>2314035.7999999998</v>
      </c>
      <c r="L45" s="1">
        <f t="shared" si="7"/>
        <v>2431535.7999999998</v>
      </c>
      <c r="M45" s="1">
        <f t="shared" si="7"/>
        <v>2367835.7999999998</v>
      </c>
      <c r="N45" s="1">
        <f t="shared" si="7"/>
        <v>2225106.7999999998</v>
      </c>
      <c r="Q45" s="1"/>
    </row>
    <row r="46" spans="1:28" x14ac:dyDescent="0.25">
      <c r="I46" s="87" t="b">
        <f t="shared" ref="I46:N46" si="8">IF(I45=I38,TRUE, FALSE)</f>
        <v>1</v>
      </c>
      <c r="J46" s="87" t="b">
        <f t="shared" si="8"/>
        <v>1</v>
      </c>
      <c r="K46" s="87" t="b">
        <f t="shared" si="8"/>
        <v>1</v>
      </c>
      <c r="L46" s="87" t="b">
        <f t="shared" si="8"/>
        <v>1</v>
      </c>
      <c r="M46" s="87" t="b">
        <f t="shared" si="8"/>
        <v>1</v>
      </c>
      <c r="N46" s="87" t="b">
        <f t="shared" si="8"/>
        <v>1</v>
      </c>
    </row>
    <row r="48" spans="1:28" x14ac:dyDescent="0.25">
      <c r="H48" s="11" t="s">
        <v>158</v>
      </c>
      <c r="I48" s="1"/>
    </row>
    <row r="50" spans="15:16" x14ac:dyDescent="0.25">
      <c r="O50" s="1"/>
      <c r="P50" s="1"/>
    </row>
  </sheetData>
  <mergeCells count="33">
    <mergeCell ref="M34:M35"/>
    <mergeCell ref="N34:N35"/>
    <mergeCell ref="O34:O35"/>
    <mergeCell ref="V32:X32"/>
    <mergeCell ref="A34:A37"/>
    <mergeCell ref="B34:B36"/>
    <mergeCell ref="C34:C36"/>
    <mergeCell ref="D34:D35"/>
    <mergeCell ref="E34:E35"/>
    <mergeCell ref="F34:F35"/>
    <mergeCell ref="G34:G35"/>
    <mergeCell ref="H34:H35"/>
    <mergeCell ref="I34:I35"/>
    <mergeCell ref="A29:A33"/>
    <mergeCell ref="B29:B32"/>
    <mergeCell ref="J34:J35"/>
    <mergeCell ref="K34:K35"/>
    <mergeCell ref="L34:L35"/>
    <mergeCell ref="A11:A28"/>
    <mergeCell ref="B11:B15"/>
    <mergeCell ref="B16:B20"/>
    <mergeCell ref="B21:B24"/>
    <mergeCell ref="B25:B28"/>
    <mergeCell ref="F4:I4"/>
    <mergeCell ref="J4:N4"/>
    <mergeCell ref="O4:O5"/>
    <mergeCell ref="R4:S4"/>
    <mergeCell ref="V4:Z4"/>
    <mergeCell ref="A6:A10"/>
    <mergeCell ref="B6:B7"/>
    <mergeCell ref="C6:C7"/>
    <mergeCell ref="B8:B10"/>
    <mergeCell ref="C8:C9"/>
  </mergeCells>
  <pageMargins left="0.7" right="0.7" top="0.75" bottom="0.75" header="0.3" footer="0.3"/>
  <pageSetup paperSize="8" scale="58" fitToHeight="0"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2" ma:contentTypeDescription="Create a new document." ma:contentTypeScope="" ma:versionID="269d2fed81ffc115f7c3d57f86669936">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dc2c45890cfec18f8c711e369341847d"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5607BF6B-C779-4132-A7B4-C4BF54D0D6DA}"/>
</file>

<file path=customXml/itemProps2.xml><?xml version="1.0" encoding="utf-8"?>
<ds:datastoreItem xmlns:ds="http://schemas.openxmlformats.org/officeDocument/2006/customXml" ds:itemID="{2939C292-290F-47A7-AADE-53758A8CFA2D}"/>
</file>

<file path=customXml/itemProps3.xml><?xml version="1.0" encoding="utf-8"?>
<ds:datastoreItem xmlns:ds="http://schemas.openxmlformats.org/officeDocument/2006/customXml" ds:itemID="{2396D392-C1EF-449A-9B81-BD25BA37F80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Benefit-cost</vt:lpstr>
      <vt:lpstr>Carbon benefit</vt:lpstr>
      <vt:lpstr>Summary Budget PLAN SAP NIGER</vt:lpstr>
      <vt:lpstr>'Summary Budget PLAN SAP NIGER'!Print_Area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babatunde.abidoye@undp.org</dc:creator>
  <cp:lastModifiedBy>Sene, Amath Pathe</cp:lastModifiedBy>
  <dcterms:created xsi:type="dcterms:W3CDTF">2015-09-26T00:54:12Z</dcterms:created>
  <dcterms:modified xsi:type="dcterms:W3CDTF">2019-09-25T22:04:14Z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